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dorenkoEA\Desktop\мониторинг 65 н\Дополнительный материал к проекту решения о бюджете Пожарский МО 2024-2026\"/>
    </mc:Choice>
  </mc:AlternateContent>
  <bookViews>
    <workbookView xWindow="0" yWindow="0" windowWidth="19200" windowHeight="11295" activeTab="1"/>
  </bookViews>
  <sheets>
    <sheet name="Лист1" sheetId="1" r:id="rId1"/>
    <sheet name="ПМО" sheetId="4" r:id="rId2"/>
    <sheet name="Лист2" sheetId="2" r:id="rId3"/>
    <sheet name="Лист3" sheetId="3" r:id="rId4"/>
  </sheets>
  <definedNames>
    <definedName name="_xlnm.Print_Area" localSheetId="1">ПМО!$A$1:$Q$31</definedName>
  </definedNames>
  <calcPr calcId="152511"/>
</workbook>
</file>

<file path=xl/calcChain.xml><?xml version="1.0" encoding="utf-8"?>
<calcChain xmlns="http://schemas.openxmlformats.org/spreadsheetml/2006/main">
  <c r="M28" i="4" l="1"/>
  <c r="K28" i="4"/>
  <c r="I28" i="4"/>
  <c r="G28" i="4"/>
  <c r="E28" i="4"/>
  <c r="L18" i="4"/>
  <c r="J18" i="4"/>
  <c r="H18" i="4"/>
  <c r="F18" i="4"/>
  <c r="L20" i="4"/>
  <c r="L19" i="4"/>
  <c r="J20" i="4"/>
  <c r="J19" i="4"/>
  <c r="H20" i="4"/>
  <c r="H19" i="4"/>
  <c r="P19" i="4" s="1"/>
  <c r="F20" i="4"/>
  <c r="F19" i="4"/>
  <c r="P27" i="4"/>
  <c r="Q27" i="4"/>
  <c r="D18" i="4"/>
  <c r="O27" i="4"/>
  <c r="N27" i="4"/>
  <c r="Q26" i="4"/>
  <c r="P26" i="4"/>
  <c r="O26" i="4"/>
  <c r="L26" i="4"/>
  <c r="J26" i="4"/>
  <c r="H26" i="4"/>
  <c r="N26" i="4" s="1"/>
  <c r="Q25" i="4"/>
  <c r="O25" i="4"/>
  <c r="N25" i="4"/>
  <c r="L25" i="4"/>
  <c r="J25" i="4"/>
  <c r="H25" i="4"/>
  <c r="P25" i="4" s="1"/>
  <c r="Q24" i="4"/>
  <c r="O24" i="4"/>
  <c r="N24" i="4"/>
  <c r="J24" i="4"/>
  <c r="H24" i="4"/>
  <c r="P24" i="4" s="1"/>
  <c r="F24" i="4"/>
  <c r="Q23" i="4"/>
  <c r="O23" i="4"/>
  <c r="N23" i="4"/>
  <c r="L23" i="4"/>
  <c r="J23" i="4"/>
  <c r="H23" i="4"/>
  <c r="P23" i="4" s="1"/>
  <c r="F23" i="4"/>
  <c r="Q22" i="4"/>
  <c r="O22" i="4"/>
  <c r="N22" i="4"/>
  <c r="L22" i="4"/>
  <c r="J22" i="4"/>
  <c r="H22" i="4"/>
  <c r="P22" i="4" s="1"/>
  <c r="Q21" i="4"/>
  <c r="N21" i="4"/>
  <c r="L21" i="4"/>
  <c r="J21" i="4"/>
  <c r="H21" i="4"/>
  <c r="P21" i="4" s="1"/>
  <c r="F21" i="4"/>
  <c r="E21" i="4"/>
  <c r="O21" i="4" s="1"/>
  <c r="Q20" i="4"/>
  <c r="O20" i="4"/>
  <c r="N20" i="4"/>
  <c r="P20" i="4"/>
  <c r="Q19" i="4"/>
  <c r="N19" i="4"/>
  <c r="E19" i="4"/>
  <c r="O19" i="4" s="1"/>
  <c r="N18" i="4" l="1"/>
  <c r="O18" i="4"/>
  <c r="P18" i="4"/>
  <c r="Q18" i="4"/>
  <c r="P10" i="4" l="1"/>
  <c r="N10" i="4"/>
  <c r="Q10" i="4"/>
  <c r="O10" i="4"/>
  <c r="O13" i="4"/>
  <c r="P16" i="4" l="1"/>
  <c r="O16" i="4"/>
  <c r="N16" i="4"/>
  <c r="L14" i="4" l="1"/>
  <c r="L12" i="4" s="1"/>
  <c r="L28" i="4" s="1"/>
  <c r="J14" i="4"/>
  <c r="J12" i="4" s="1"/>
  <c r="J28" i="4" s="1"/>
  <c r="H14" i="4"/>
  <c r="P14" i="4" s="1"/>
  <c r="Q16" i="4"/>
  <c r="N17" i="4"/>
  <c r="E12" i="4"/>
  <c r="F12" i="4"/>
  <c r="F28" i="4" s="1"/>
  <c r="G12" i="4"/>
  <c r="I12" i="4"/>
  <c r="K12" i="4"/>
  <c r="M12" i="4"/>
  <c r="D12" i="4"/>
  <c r="D28" i="4" s="1"/>
  <c r="Q17" i="4"/>
  <c r="P17" i="4"/>
  <c r="O17" i="4"/>
  <c r="Q15" i="4"/>
  <c r="P15" i="4"/>
  <c r="N15" i="4"/>
  <c r="O15" i="4"/>
  <c r="O14" i="4"/>
  <c r="Q13" i="4"/>
  <c r="P13" i="4"/>
  <c r="N13" i="4"/>
  <c r="H12" i="4" l="1"/>
  <c r="H28" i="4" s="1"/>
  <c r="N14" i="4"/>
  <c r="Q14" i="4"/>
  <c r="M24" i="1"/>
  <c r="M23" i="1"/>
  <c r="M21" i="1"/>
  <c r="M20" i="1"/>
  <c r="M19" i="1"/>
  <c r="M18" i="1"/>
  <c r="M17" i="1"/>
  <c r="M16" i="1"/>
  <c r="M15" i="1"/>
  <c r="M13" i="1"/>
  <c r="M12" i="1"/>
  <c r="M11" i="1"/>
  <c r="K24" i="1"/>
  <c r="K23" i="1"/>
  <c r="K21" i="1"/>
  <c r="K20" i="1"/>
  <c r="K19" i="1"/>
  <c r="K18" i="1"/>
  <c r="K17" i="1"/>
  <c r="K16" i="1"/>
  <c r="K15" i="1"/>
  <c r="K13" i="1"/>
  <c r="K12" i="1"/>
  <c r="K11" i="1"/>
  <c r="I21" i="1"/>
  <c r="I20" i="1"/>
  <c r="I19" i="1"/>
  <c r="I18" i="1"/>
  <c r="I17" i="1"/>
  <c r="I15" i="1"/>
  <c r="I13" i="1"/>
  <c r="I12" i="1"/>
  <c r="I11" i="1"/>
  <c r="N12" i="4" l="1"/>
  <c r="N28" i="4" s="1"/>
  <c r="P12" i="4"/>
  <c r="P28" i="4" s="1"/>
  <c r="Q12" i="4"/>
  <c r="Q28" i="4" s="1"/>
  <c r="O12" i="4"/>
  <c r="O28" i="4" s="1"/>
  <c r="M33" i="1"/>
  <c r="M32" i="1"/>
  <c r="M34" i="1"/>
  <c r="K32" i="1"/>
  <c r="K34" i="1"/>
  <c r="K33" i="1"/>
  <c r="I33" i="1"/>
  <c r="I32" i="1"/>
  <c r="I34" i="1"/>
  <c r="G33" i="1" l="1"/>
  <c r="G32" i="1"/>
  <c r="G34" i="1"/>
  <c r="G12" i="1"/>
  <c r="G18" i="1"/>
  <c r="G17" i="1"/>
  <c r="G21" i="1"/>
  <c r="G20" i="1"/>
  <c r="G19" i="1"/>
  <c r="G16" i="1"/>
  <c r="G15" i="1"/>
  <c r="G14" i="1"/>
  <c r="G24" i="1"/>
  <c r="G23" i="1"/>
  <c r="G13" i="1"/>
  <c r="G11" i="1"/>
  <c r="E31" i="1" l="1"/>
  <c r="E35" i="1"/>
  <c r="E34" i="1"/>
  <c r="E33" i="1"/>
  <c r="E32" i="1"/>
  <c r="E18" i="1"/>
  <c r="E17" i="1"/>
  <c r="E23" i="1" l="1"/>
  <c r="E21" i="1"/>
  <c r="E20" i="1"/>
  <c r="E19" i="1"/>
  <c r="E16" i="1"/>
  <c r="E15" i="1"/>
  <c r="E14" i="1"/>
  <c r="E13" i="1"/>
  <c r="E12" i="1"/>
  <c r="E11" i="1"/>
  <c r="Q28" i="1" l="1"/>
  <c r="P28" i="1"/>
  <c r="O28" i="1"/>
  <c r="N28" i="1"/>
  <c r="M27" i="1"/>
  <c r="L27" i="1"/>
  <c r="K27" i="1"/>
  <c r="J27" i="1"/>
  <c r="I27" i="1"/>
  <c r="H27" i="1"/>
  <c r="N27" i="1" s="1"/>
  <c r="G27" i="1"/>
  <c r="E27" i="1"/>
  <c r="D27" i="1"/>
  <c r="P27" i="1" l="1"/>
  <c r="Q27" i="1"/>
  <c r="O27" i="1"/>
  <c r="I16" i="1" l="1"/>
  <c r="I24" i="1"/>
  <c r="I23" i="1"/>
  <c r="M10" i="1" l="1"/>
  <c r="L10" i="1"/>
  <c r="K10" i="1"/>
  <c r="J10" i="1"/>
  <c r="I10" i="1"/>
  <c r="H10" i="1"/>
  <c r="F10" i="1"/>
  <c r="E10" i="1"/>
  <c r="D10" i="1"/>
  <c r="G10" i="1"/>
  <c r="P22" i="1"/>
  <c r="O22" i="1"/>
  <c r="Q22" i="1"/>
  <c r="D30" i="1"/>
  <c r="D25" i="1"/>
  <c r="D37" i="1" l="1"/>
  <c r="M25" i="1" l="1"/>
  <c r="L25" i="1"/>
  <c r="K25" i="1"/>
  <c r="J25" i="1"/>
  <c r="I25" i="1"/>
  <c r="H25" i="1"/>
  <c r="G25" i="1"/>
  <c r="F25" i="1"/>
  <c r="Q36" i="1" l="1"/>
  <c r="P36" i="1"/>
  <c r="O36" i="1"/>
  <c r="N36" i="1"/>
  <c r="Q35" i="1"/>
  <c r="P35" i="1"/>
  <c r="O35" i="1"/>
  <c r="N35" i="1"/>
  <c r="Q34" i="1"/>
  <c r="P34" i="1"/>
  <c r="O34" i="1"/>
  <c r="N34" i="1"/>
  <c r="Q33" i="1"/>
  <c r="P33" i="1"/>
  <c r="O33" i="1"/>
  <c r="N33" i="1"/>
  <c r="Q32" i="1"/>
  <c r="P32" i="1"/>
  <c r="O32" i="1"/>
  <c r="N32" i="1"/>
  <c r="Q31" i="1"/>
  <c r="P31" i="1"/>
  <c r="O31" i="1"/>
  <c r="N31" i="1"/>
  <c r="Q26" i="1"/>
  <c r="P26" i="1"/>
  <c r="O26" i="1"/>
  <c r="N26" i="1"/>
  <c r="Q24" i="1"/>
  <c r="P24" i="1"/>
  <c r="O24" i="1"/>
  <c r="N24" i="1"/>
  <c r="Q23" i="1"/>
  <c r="P23" i="1"/>
  <c r="O23" i="1"/>
  <c r="N23" i="1"/>
  <c r="Q21" i="1"/>
  <c r="P21" i="1"/>
  <c r="O21" i="1"/>
  <c r="N21" i="1"/>
  <c r="Q20" i="1"/>
  <c r="P20" i="1"/>
  <c r="O20" i="1"/>
  <c r="N20" i="1"/>
  <c r="Q19" i="1"/>
  <c r="P19" i="1"/>
  <c r="O19" i="1"/>
  <c r="N19" i="1"/>
  <c r="Q18" i="1"/>
  <c r="P18" i="1"/>
  <c r="O18" i="1"/>
  <c r="N18" i="1"/>
  <c r="Q17" i="1"/>
  <c r="P17" i="1"/>
  <c r="O17" i="1"/>
  <c r="N17" i="1"/>
  <c r="Q16" i="1"/>
  <c r="P16" i="1"/>
  <c r="O16" i="1"/>
  <c r="N16" i="1"/>
  <c r="Q15" i="1"/>
  <c r="P15" i="1"/>
  <c r="O15" i="1"/>
  <c r="N15" i="1"/>
  <c r="Q14" i="1"/>
  <c r="P14" i="1"/>
  <c r="O14" i="1"/>
  <c r="N14" i="1"/>
  <c r="Q13" i="1"/>
  <c r="P13" i="1"/>
  <c r="O13" i="1"/>
  <c r="N13" i="1"/>
  <c r="Q12" i="1"/>
  <c r="P12" i="1"/>
  <c r="O12" i="1"/>
  <c r="N12" i="1"/>
  <c r="Q11" i="1"/>
  <c r="P11" i="1"/>
  <c r="O11" i="1"/>
  <c r="N11" i="1"/>
  <c r="M30" i="1"/>
  <c r="M37" i="1" s="1"/>
  <c r="Q25" i="1" l="1"/>
  <c r="P25" i="1"/>
  <c r="N25" i="1"/>
  <c r="O25" i="1"/>
  <c r="L30" i="1"/>
  <c r="L37" i="1" s="1"/>
  <c r="K30" i="1"/>
  <c r="K37" i="1" s="1"/>
  <c r="J30" i="1"/>
  <c r="J37" i="1" s="1"/>
  <c r="I30" i="1"/>
  <c r="I37" i="1" s="1"/>
  <c r="H30" i="1"/>
  <c r="H37" i="1" s="1"/>
  <c r="G30" i="1"/>
  <c r="G37" i="1" s="1"/>
  <c r="F30" i="1"/>
  <c r="F37" i="1" s="1"/>
  <c r="E30" i="1"/>
  <c r="E37" i="1" s="1"/>
  <c r="Q30" i="1" l="1"/>
  <c r="O30" i="1"/>
  <c r="P30" i="1"/>
  <c r="N30" i="1"/>
  <c r="Q10" i="1" l="1"/>
  <c r="O10" i="1"/>
  <c r="P10" i="1"/>
  <c r="N10" i="1"/>
  <c r="N37" i="1" l="1"/>
  <c r="P37" i="1"/>
  <c r="Q37" i="1"/>
  <c r="O37" i="1"/>
</calcChain>
</file>

<file path=xl/sharedStrings.xml><?xml version="1.0" encoding="utf-8"?>
<sst xmlns="http://schemas.openxmlformats.org/spreadsheetml/2006/main" count="146" uniqueCount="77">
  <si>
    <t>800</t>
  </si>
  <si>
    <t>Наименование</t>
  </si>
  <si>
    <t>Целевая статья</t>
  </si>
  <si>
    <t>ВСЕГО:</t>
  </si>
  <si>
    <t>1500000000</t>
  </si>
  <si>
    <t>1600000000</t>
  </si>
  <si>
    <t>Ведомст-во</t>
  </si>
  <si>
    <t>Очередной год и плановый период</t>
  </si>
  <si>
    <t>Объем услуг, единиц</t>
  </si>
  <si>
    <t>Библиографическая обработка документов и создание каталогов</t>
  </si>
  <si>
    <t>Формирование, учет, изучение обеспечение физического сохранения и безопасности фондов библиотеки</t>
  </si>
  <si>
    <t>Библиотечное, библиографическое и информационное обслуживание пользователей библиотек</t>
  </si>
  <si>
    <t>Создание экспозиций (выставок) музеев, организация выездных выставок</t>
  </si>
  <si>
    <t>Формирование, обеспечение физического сохранения и безопасности музейных предметов, музейных коллекций</t>
  </si>
  <si>
    <t>Публичный показ музейных предметов, музейных коллекций</t>
  </si>
  <si>
    <t>Создание концертов и концертных программ</t>
  </si>
  <si>
    <t>Показ концертов и концертных программ</t>
  </si>
  <si>
    <t>Показ (организация показа) спектаклей (театральных постановок)</t>
  </si>
  <si>
    <t>Реализация дополнительных общеразвивающих программ</t>
  </si>
  <si>
    <t>Реализация дополнительных общеобразовательных предпрофессиональных  программ в области искусства</t>
  </si>
  <si>
    <t>Реализация основных общеобразовательных программ дошкольного образования присмотр и уход с 1 года до 8 лет</t>
  </si>
  <si>
    <t>Реализация основных общеобразовательных программ начального общего образования с 1 по 4 классы</t>
  </si>
  <si>
    <t>Реализация основных общеобразовательных программ основного общего образования с 5 по 9 классы</t>
  </si>
  <si>
    <t>Реализация основных общеобразовательных программ среднего общего образования с 10 по 11 классы</t>
  </si>
  <si>
    <t>Развитие дополнительных образовательных программ</t>
  </si>
  <si>
    <t>Организация отдыха детей и молодежи</t>
  </si>
  <si>
    <t>Информирование населения о деятельности органов местного самоуправления Октябрьского муниципального района на 2015-2023 годы</t>
  </si>
  <si>
    <t>1600100000</t>
  </si>
  <si>
    <t>1600200000</t>
  </si>
  <si>
    <t>1600200102</t>
  </si>
  <si>
    <t>1600660241</t>
  </si>
  <si>
    <t>2024 год</t>
  </si>
  <si>
    <t>Администрация Октябрьского муниципального округа</t>
  </si>
  <si>
    <t>901</t>
  </si>
  <si>
    <t>МКУ "Управление образования" Октябрьского мцниципального округа</t>
  </si>
  <si>
    <t>Муниципальная программа «Развитие культуры, искусства, спорта, молодежной и социальной политики на территории Октябрьского муниципального округа"</t>
  </si>
  <si>
    <t>Муниципальная программа «Информирование населения о деятельности органов местного самоуправления Октябрьского муниципального округа  на 2022-2027 годы»</t>
  </si>
  <si>
    <t>Муниципальная программа "Развитие образования в Октябрьском муниципальном округе" на 2021-2025 годы</t>
  </si>
  <si>
    <t>1500160241</t>
  </si>
  <si>
    <t>2025 год</t>
  </si>
  <si>
    <t>(рублей)</t>
  </si>
  <si>
    <t>Формирование здорового образа жизни и соответствующих навыков укрепления и сохранения здоровья</t>
  </si>
  <si>
    <t xml:space="preserve">Муниципальная программа "Укрепление общественного здоровья и развитие массового спорта на территории Октябрьского муниципального округа на период 2023-2027 годы" </t>
  </si>
  <si>
    <t>3400000000</t>
  </si>
  <si>
    <t>Расходы на обеспечение деятельности бюджетных учреждений в сфере массового спорта</t>
  </si>
  <si>
    <t>3400110100</t>
  </si>
  <si>
    <t>Объем субсидии на финансовое обеспечение, рублей</t>
  </si>
  <si>
    <t>Сведения об объемах оказания муниципальных услуг (работ) муниципальными бюджетными и автономными учреждениями Октябрьского муниципального округа                                                                                         на 2024 год и плановый период 2025 и 2026 годов</t>
  </si>
  <si>
    <t>Отчетный финансовый            2022 год</t>
  </si>
  <si>
    <t>Ожидаемое исполнение                    за 2023 год</t>
  </si>
  <si>
    <t>2026 год</t>
  </si>
  <si>
    <t>Отклонение 2024 года к               2022 году</t>
  </si>
  <si>
    <t>Отклонение 2024 года к 2023 году</t>
  </si>
  <si>
    <t>Администрация Пожарского муниципального округа</t>
  </si>
  <si>
    <t>Управление образования Пожарского муниципального округа</t>
  </si>
  <si>
    <t>Муниципальная программа "Развитие образования в Пожарском муниципальном округе" на 2023 - 2026 годы</t>
  </si>
  <si>
    <t>1. Подпрограмма "Развитие системы дошкольного образования  Пожарского муниципального округа" на 2023-2026 годы</t>
  </si>
  <si>
    <t>2. Подпрограмма "Развитие системы общего образования  Пожарского муниципального округа" на 2023-2026 годы</t>
  </si>
  <si>
    <t>398</t>
  </si>
  <si>
    <t>1010000000</t>
  </si>
  <si>
    <t>1020000000</t>
  </si>
  <si>
    <t>1030000000</t>
  </si>
  <si>
    <t>3. Подпрограмма "Развитие системы дополнительного образования  Пожарского муниципального округа" на 2023-2026 годы</t>
  </si>
  <si>
    <t>4. Подпрограмма "Развитие системы отдыха, оздоровления детей и подростков Пожарского муниципального округа" на 2023-2026 годы</t>
  </si>
  <si>
    <t>1040000000</t>
  </si>
  <si>
    <t>Муниципальная программа "Развитие физической культуры и спорта,укрепления общественного здоровья населения Пожарского муниципального округа" на 2023 - 2026 годы</t>
  </si>
  <si>
    <t>0800000000</t>
  </si>
  <si>
    <t>Муниципальное автономное учреждение "Редакция газеты "Победа"</t>
  </si>
  <si>
    <t>Муниципальная программа «Развитие культуры и искусства в Пожарском муниципальном округе на 2023-2026 годы"</t>
  </si>
  <si>
    <t>О990300241</t>
  </si>
  <si>
    <t xml:space="preserve">Библиотечное, библиографическое и информационное обслуживание пользователей библиотеки </t>
  </si>
  <si>
    <t>Формирование, учет, изучение, обеспечение физического сохранения и безопасности фондов библиотек, включая оцифровку фондов</t>
  </si>
  <si>
    <t xml:space="preserve">Организация деятельности клубных формирований и формирований самодеятельного народного творчества </t>
  </si>
  <si>
    <t>Организация и проведение мероприятий</t>
  </si>
  <si>
    <t>Формирование, учет, изучение, обеспечение физического сохранения и безопасности музейных предметов и музейных коллекций</t>
  </si>
  <si>
    <t>Создание спектаклей</t>
  </si>
  <si>
    <t>Сведения об объемах оказания муниципальных услуг (работ) муниципальными бюджетными и автономными учреждениями Пожарского муниципального округа                                                                                         на 2024 год и плановый период 2025 и 2026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</si>
</sst>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1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1"/>
      <color theme="5" tint="-0.249977111117893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9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2" borderId="0" applyNumberFormat="0" applyBorder="0" applyAlignment="0" applyProtection="0"/>
    <xf numFmtId="0" fontId="3" fillId="5" borderId="1" applyNumberFormat="0" applyAlignment="0" applyProtection="0"/>
    <xf numFmtId="0" fontId="4" fillId="12" borderId="2" applyNumberFormat="0" applyAlignment="0" applyProtection="0"/>
    <xf numFmtId="0" fontId="5" fillId="12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3" borderId="7" applyNumberFormat="0" applyAlignment="0" applyProtection="0"/>
    <xf numFmtId="0" fontId="11" fillId="0" borderId="0" applyNumberFormat="0" applyFill="0" applyBorder="0" applyAlignment="0" applyProtection="0"/>
    <xf numFmtId="0" fontId="12" fillId="13" borderId="0" applyNumberFormat="0" applyBorder="0" applyAlignment="0" applyProtection="0"/>
    <xf numFmtId="0" fontId="1" fillId="0" borderId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6" borderId="0" applyNumberFormat="0" applyBorder="0" applyAlignment="0" applyProtection="0"/>
  </cellStyleXfs>
  <cellXfs count="105">
    <xf numFmtId="0" fontId="0" fillId="0" borderId="0" xfId="0"/>
    <xf numFmtId="0" fontId="21" fillId="0" borderId="0" xfId="0" applyFont="1"/>
    <xf numFmtId="0" fontId="18" fillId="0" borderId="0" xfId="0" applyFont="1" applyAlignment="1">
      <alignment horizontal="right"/>
    </xf>
    <xf numFmtId="0" fontId="18" fillId="0" borderId="0" xfId="0" applyFont="1" applyAlignment="1">
      <alignment horizontal="right" wrapText="1"/>
    </xf>
    <xf numFmtId="0" fontId="18" fillId="0" borderId="0" xfId="0" applyFont="1" applyAlignment="1">
      <alignment horizontal="right"/>
    </xf>
    <xf numFmtId="0" fontId="24" fillId="24" borderId="10" xfId="36" applyFont="1" applyFill="1" applyBorder="1" applyAlignment="1">
      <alignment horizontal="center" vertical="center" wrapText="1"/>
    </xf>
    <xf numFmtId="49" fontId="25" fillId="24" borderId="10" xfId="36" applyNumberFormat="1" applyFont="1" applyFill="1" applyBorder="1" applyAlignment="1">
      <alignment horizontal="center" vertical="center" wrapText="1" shrinkToFit="1"/>
    </xf>
    <xf numFmtId="4" fontId="25" fillId="24" borderId="10" xfId="36" applyNumberFormat="1" applyFont="1" applyFill="1" applyBorder="1" applyAlignment="1">
      <alignment horizontal="right" vertical="center" wrapText="1" shrinkToFit="1"/>
    </xf>
    <xf numFmtId="4" fontId="25" fillId="0" borderId="10" xfId="0" applyNumberFormat="1" applyFont="1" applyBorder="1" applyAlignment="1">
      <alignment vertical="center"/>
    </xf>
    <xf numFmtId="164" fontId="25" fillId="0" borderId="10" xfId="0" applyNumberFormat="1" applyFont="1" applyBorder="1" applyAlignment="1">
      <alignment vertical="center"/>
    </xf>
    <xf numFmtId="0" fontId="26" fillId="0" borderId="10" xfId="0" applyFont="1" applyBorder="1" applyAlignment="1">
      <alignment wrapText="1"/>
    </xf>
    <xf numFmtId="0" fontId="26" fillId="24" borderId="10" xfId="36" applyFont="1" applyFill="1" applyBorder="1" applyAlignment="1">
      <alignment horizontal="left" vertical="center" wrapText="1"/>
    </xf>
    <xf numFmtId="0" fontId="24" fillId="24" borderId="11" xfId="36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/>
    </xf>
    <xf numFmtId="3" fontId="24" fillId="24" borderId="10" xfId="36" applyNumberFormat="1" applyFont="1" applyFill="1" applyBorder="1" applyAlignment="1">
      <alignment horizontal="center" vertical="center" wrapText="1"/>
    </xf>
    <xf numFmtId="4" fontId="24" fillId="24" borderId="10" xfId="36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wrapText="1"/>
    </xf>
    <xf numFmtId="49" fontId="24" fillId="24" borderId="10" xfId="36" applyNumberFormat="1" applyFont="1" applyFill="1" applyBorder="1" applyAlignment="1">
      <alignment horizontal="center" vertical="center" wrapText="1" shrinkToFit="1"/>
    </xf>
    <xf numFmtId="4" fontId="24" fillId="0" borderId="10" xfId="0" applyNumberFormat="1" applyFont="1" applyBorder="1" applyAlignment="1">
      <alignment horizontal="center" vertical="center"/>
    </xf>
    <xf numFmtId="4" fontId="24" fillId="24" borderId="10" xfId="36" applyNumberFormat="1" applyFont="1" applyFill="1" applyBorder="1" applyAlignment="1">
      <alignment horizontal="right" vertical="center" wrapText="1" shrinkToFit="1"/>
    </xf>
    <xf numFmtId="0" fontId="22" fillId="24" borderId="10" xfId="36" applyFont="1" applyFill="1" applyBorder="1" applyAlignment="1">
      <alignment horizontal="left" vertical="top" wrapText="1"/>
    </xf>
    <xf numFmtId="49" fontId="22" fillId="24" borderId="10" xfId="36" applyNumberFormat="1" applyFont="1" applyFill="1" applyBorder="1" applyAlignment="1">
      <alignment horizontal="center" vertical="top" wrapText="1" shrinkToFit="1"/>
    </xf>
    <xf numFmtId="4" fontId="22" fillId="24" borderId="10" xfId="36" applyNumberFormat="1" applyFont="1" applyFill="1" applyBorder="1" applyAlignment="1">
      <alignment horizontal="right" vertical="top" wrapText="1" shrinkToFit="1"/>
    </xf>
    <xf numFmtId="3" fontId="22" fillId="24" borderId="10" xfId="36" applyNumberFormat="1" applyFont="1" applyFill="1" applyBorder="1" applyAlignment="1">
      <alignment horizontal="center" vertical="center" wrapText="1"/>
    </xf>
    <xf numFmtId="4" fontId="22" fillId="24" borderId="10" xfId="36" applyNumberFormat="1" applyFont="1" applyFill="1" applyBorder="1" applyAlignment="1">
      <alignment horizontal="center" vertical="center" wrapText="1"/>
    </xf>
    <xf numFmtId="0" fontId="23" fillId="24" borderId="10" xfId="36" applyFont="1" applyFill="1" applyBorder="1" applyAlignment="1">
      <alignment horizontal="center" vertical="center" wrapText="1"/>
    </xf>
    <xf numFmtId="0" fontId="23" fillId="0" borderId="10" xfId="36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/>
    </xf>
    <xf numFmtId="4" fontId="23" fillId="24" borderId="10" xfId="36" applyNumberFormat="1" applyFont="1" applyFill="1" applyBorder="1" applyAlignment="1">
      <alignment horizontal="center" vertical="center" wrapText="1"/>
    </xf>
    <xf numFmtId="0" fontId="29" fillId="24" borderId="10" xfId="36" applyFont="1" applyFill="1" applyBorder="1" applyAlignment="1">
      <alignment horizontal="center" vertical="center" wrapText="1"/>
    </xf>
    <xf numFmtId="4" fontId="29" fillId="24" borderId="10" xfId="36" applyNumberFormat="1" applyFont="1" applyFill="1" applyBorder="1" applyAlignment="1">
      <alignment horizontal="center" vertical="center" wrapText="1"/>
    </xf>
    <xf numFmtId="1" fontId="29" fillId="24" borderId="10" xfId="36" applyNumberFormat="1" applyFont="1" applyFill="1" applyBorder="1" applyAlignment="1">
      <alignment horizontal="center" vertical="center" wrapText="1"/>
    </xf>
    <xf numFmtId="4" fontId="29" fillId="0" borderId="10" xfId="0" applyNumberFormat="1" applyFont="1" applyBorder="1" applyAlignment="1">
      <alignment horizontal="center" vertical="center"/>
    </xf>
    <xf numFmtId="3" fontId="29" fillId="24" borderId="10" xfId="36" applyNumberFormat="1" applyFont="1" applyFill="1" applyBorder="1" applyAlignment="1">
      <alignment horizontal="center" vertical="center" wrapText="1"/>
    </xf>
    <xf numFmtId="4" fontId="29" fillId="25" borderId="10" xfId="0" applyNumberFormat="1" applyFont="1" applyFill="1" applyBorder="1" applyAlignment="1">
      <alignment horizontal="center" vertical="center"/>
    </xf>
    <xf numFmtId="0" fontId="29" fillId="0" borderId="10" xfId="0" applyFont="1" applyBorder="1" applyAlignment="1">
      <alignment wrapText="1"/>
    </xf>
    <xf numFmtId="49" fontId="29" fillId="24" borderId="10" xfId="36" applyNumberFormat="1" applyFont="1" applyFill="1" applyBorder="1" applyAlignment="1">
      <alignment horizontal="center" vertical="center" wrapText="1" shrinkToFit="1"/>
    </xf>
    <xf numFmtId="4" fontId="29" fillId="0" borderId="10" xfId="0" applyNumberFormat="1" applyFont="1" applyBorder="1" applyAlignment="1">
      <alignment vertical="center"/>
    </xf>
    <xf numFmtId="4" fontId="29" fillId="24" borderId="10" xfId="36" applyNumberFormat="1" applyFont="1" applyFill="1" applyBorder="1" applyAlignment="1">
      <alignment horizontal="right" vertical="center" wrapText="1" shrinkToFit="1"/>
    </xf>
    <xf numFmtId="164" fontId="29" fillId="0" borderId="10" xfId="0" applyNumberFormat="1" applyFont="1" applyBorder="1" applyAlignment="1">
      <alignment vertical="center"/>
    </xf>
    <xf numFmtId="4" fontId="29" fillId="25" borderId="10" xfId="36" applyNumberFormat="1" applyFont="1" applyFill="1" applyBorder="1" applyAlignment="1">
      <alignment horizontal="right" vertical="center" wrapText="1" shrinkToFit="1"/>
    </xf>
    <xf numFmtId="0" fontId="24" fillId="25" borderId="10" xfId="0" applyFont="1" applyFill="1" applyBorder="1" applyAlignment="1">
      <alignment vertical="top" wrapText="1"/>
    </xf>
    <xf numFmtId="4" fontId="29" fillId="25" borderId="10" xfId="0" applyNumberFormat="1" applyFont="1" applyFill="1" applyBorder="1" applyAlignment="1">
      <alignment vertical="center"/>
    </xf>
    <xf numFmtId="0" fontId="29" fillId="24" borderId="12" xfId="0" applyFont="1" applyFill="1" applyBorder="1" applyAlignment="1">
      <alignment vertical="center" wrapText="1"/>
    </xf>
    <xf numFmtId="4" fontId="24" fillId="0" borderId="10" xfId="0" applyNumberFormat="1" applyFont="1" applyBorder="1" applyAlignment="1">
      <alignment vertical="center"/>
    </xf>
    <xf numFmtId="49" fontId="29" fillId="25" borderId="10" xfId="0" applyNumberFormat="1" applyFont="1" applyFill="1" applyBorder="1" applyAlignment="1">
      <alignment horizontal="center" vertical="center" wrapText="1" shrinkToFit="1"/>
    </xf>
    <xf numFmtId="4" fontId="24" fillId="25" borderId="10" xfId="36" applyNumberFormat="1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0" fontId="24" fillId="25" borderId="10" xfId="0" applyFont="1" applyFill="1" applyBorder="1" applyAlignment="1">
      <alignment wrapText="1"/>
    </xf>
    <xf numFmtId="49" fontId="24" fillId="25" borderId="10" xfId="36" applyNumberFormat="1" applyFont="1" applyFill="1" applyBorder="1" applyAlignment="1">
      <alignment horizontal="center" vertical="center" wrapText="1" shrinkToFit="1"/>
    </xf>
    <xf numFmtId="4" fontId="24" fillId="25" borderId="10" xfId="36" applyNumberFormat="1" applyFont="1" applyFill="1" applyBorder="1" applyAlignment="1">
      <alignment horizontal="right" vertical="center" wrapText="1" shrinkToFit="1"/>
    </xf>
    <xf numFmtId="0" fontId="29" fillId="25" borderId="10" xfId="0" applyFont="1" applyFill="1" applyBorder="1" applyAlignment="1">
      <alignment wrapText="1"/>
    </xf>
    <xf numFmtId="49" fontId="23" fillId="25" borderId="10" xfId="36" applyNumberFormat="1" applyFont="1" applyFill="1" applyBorder="1" applyAlignment="1">
      <alignment horizontal="center" vertical="center" wrapText="1" shrinkToFit="1"/>
    </xf>
    <xf numFmtId="49" fontId="29" fillId="25" borderId="10" xfId="36" applyNumberFormat="1" applyFont="1" applyFill="1" applyBorder="1" applyAlignment="1">
      <alignment horizontal="center" vertical="center" wrapText="1" shrinkToFit="1"/>
    </xf>
    <xf numFmtId="0" fontId="18" fillId="0" borderId="0" xfId="0" applyFont="1" applyAlignment="1">
      <alignment horizontal="right"/>
    </xf>
    <xf numFmtId="0" fontId="30" fillId="0" borderId="10" xfId="0" applyFont="1" applyBorder="1" applyAlignment="1">
      <alignment wrapText="1"/>
    </xf>
    <xf numFmtId="0" fontId="24" fillId="26" borderId="10" xfId="0" applyFont="1" applyFill="1" applyBorder="1" applyAlignment="1">
      <alignment wrapText="1"/>
    </xf>
    <xf numFmtId="49" fontId="24" fillId="26" borderId="10" xfId="36" applyNumberFormat="1" applyFont="1" applyFill="1" applyBorder="1" applyAlignment="1">
      <alignment horizontal="center" vertical="center" wrapText="1" shrinkToFit="1"/>
    </xf>
    <xf numFmtId="4" fontId="24" fillId="26" borderId="10" xfId="36" applyNumberFormat="1" applyFont="1" applyFill="1" applyBorder="1" applyAlignment="1">
      <alignment horizontal="right" vertical="center" wrapText="1" shrinkToFit="1"/>
    </xf>
    <xf numFmtId="3" fontId="24" fillId="26" borderId="10" xfId="36" applyNumberFormat="1" applyFont="1" applyFill="1" applyBorder="1" applyAlignment="1">
      <alignment horizontal="center" vertical="center" wrapText="1"/>
    </xf>
    <xf numFmtId="4" fontId="24" fillId="26" borderId="10" xfId="36" applyNumberFormat="1" applyFont="1" applyFill="1" applyBorder="1" applyAlignment="1">
      <alignment horizontal="center" vertical="center" wrapText="1"/>
    </xf>
    <xf numFmtId="4" fontId="23" fillId="26" borderId="10" xfId="36" applyNumberFormat="1" applyFont="1" applyFill="1" applyBorder="1" applyAlignment="1">
      <alignment horizontal="center" vertical="center" wrapText="1"/>
    </xf>
    <xf numFmtId="49" fontId="29" fillId="26" borderId="10" xfId="36" applyNumberFormat="1" applyFont="1" applyFill="1" applyBorder="1" applyAlignment="1">
      <alignment horizontal="center" vertical="center" wrapText="1" shrinkToFit="1"/>
    </xf>
    <xf numFmtId="4" fontId="29" fillId="26" borderId="10" xfId="36" applyNumberFormat="1" applyFont="1" applyFill="1" applyBorder="1" applyAlignment="1">
      <alignment horizontal="right" vertical="center" wrapText="1" shrinkToFit="1"/>
    </xf>
    <xf numFmtId="3" fontId="29" fillId="26" borderId="10" xfId="36" applyNumberFormat="1" applyFont="1" applyFill="1" applyBorder="1" applyAlignment="1">
      <alignment horizontal="center" vertical="center" wrapText="1"/>
    </xf>
    <xf numFmtId="4" fontId="29" fillId="26" borderId="10" xfId="36" applyNumberFormat="1" applyFont="1" applyFill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/>
    </xf>
    <xf numFmtId="4" fontId="29" fillId="24" borderId="14" xfId="36" applyNumberFormat="1" applyFont="1" applyFill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 vertical="center" wrapText="1"/>
    </xf>
    <xf numFmtId="1" fontId="29" fillId="0" borderId="10" xfId="36" applyNumberFormat="1" applyFont="1" applyFill="1" applyBorder="1" applyAlignment="1">
      <alignment horizontal="center" vertical="center" wrapText="1"/>
    </xf>
    <xf numFmtId="1" fontId="29" fillId="25" borderId="10" xfId="36" applyNumberFormat="1" applyFont="1" applyFill="1" applyBorder="1" applyAlignment="1">
      <alignment horizontal="center" vertical="center" wrapText="1"/>
    </xf>
    <xf numFmtId="0" fontId="24" fillId="27" borderId="10" xfId="0" applyFont="1" applyFill="1" applyBorder="1" applyAlignment="1">
      <alignment vertical="top" wrapText="1"/>
    </xf>
    <xf numFmtId="0" fontId="24" fillId="27" borderId="11" xfId="36" applyFont="1" applyFill="1" applyBorder="1" applyAlignment="1">
      <alignment horizontal="center" vertical="center" wrapText="1"/>
    </xf>
    <xf numFmtId="0" fontId="29" fillId="27" borderId="10" xfId="36" applyFont="1" applyFill="1" applyBorder="1" applyAlignment="1">
      <alignment horizontal="center" vertical="center" wrapText="1"/>
    </xf>
    <xf numFmtId="4" fontId="24" fillId="27" borderId="10" xfId="36" applyNumberFormat="1" applyFont="1" applyFill="1" applyBorder="1" applyAlignment="1">
      <alignment horizontal="center" vertical="center" wrapText="1"/>
    </xf>
    <xf numFmtId="3" fontId="24" fillId="27" borderId="10" xfId="36" applyNumberFormat="1" applyFont="1" applyFill="1" applyBorder="1" applyAlignment="1">
      <alignment horizontal="center" vertical="center" wrapText="1"/>
    </xf>
    <xf numFmtId="0" fontId="0" fillId="27" borderId="0" xfId="0" applyFont="1" applyFill="1"/>
    <xf numFmtId="0" fontId="28" fillId="0" borderId="13" xfId="36" applyFont="1" applyBorder="1" applyAlignment="1">
      <alignment horizontal="center" wrapText="1"/>
    </xf>
    <xf numFmtId="0" fontId="27" fillId="0" borderId="16" xfId="0" applyFont="1" applyBorder="1" applyAlignment="1">
      <alignment horizontal="center" wrapText="1"/>
    </xf>
    <xf numFmtId="0" fontId="27" fillId="0" borderId="11" xfId="0" applyFont="1" applyBorder="1" applyAlignment="1">
      <alignment horizontal="center" wrapText="1"/>
    </xf>
    <xf numFmtId="0" fontId="23" fillId="24" borderId="14" xfId="36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wrapText="1"/>
    </xf>
    <xf numFmtId="0" fontId="23" fillId="0" borderId="14" xfId="36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wrapText="1"/>
    </xf>
    <xf numFmtId="0" fontId="28" fillId="0" borderId="11" xfId="0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/>
    <xf numFmtId="0" fontId="19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8" fillId="24" borderId="14" xfId="36" applyFont="1" applyFill="1" applyBorder="1" applyAlignment="1">
      <alignment horizontal="center" vertical="center" wrapText="1"/>
    </xf>
    <xf numFmtId="0" fontId="27" fillId="0" borderId="15" xfId="0" applyFont="1" applyBorder="1" applyAlignment="1"/>
    <xf numFmtId="0" fontId="27" fillId="0" borderId="12" xfId="0" applyFont="1" applyBorder="1" applyAlignment="1"/>
    <xf numFmtId="0" fontId="27" fillId="0" borderId="15" xfId="0" applyFont="1" applyBorder="1" applyAlignment="1">
      <alignment wrapText="1"/>
    </xf>
    <xf numFmtId="0" fontId="27" fillId="0" borderId="12" xfId="0" applyFont="1" applyBorder="1" applyAlignment="1">
      <alignment wrapText="1"/>
    </xf>
    <xf numFmtId="0" fontId="28" fillId="25" borderId="13" xfId="0" applyFont="1" applyFill="1" applyBorder="1" applyAlignment="1">
      <alignment horizontal="center" wrapText="1"/>
    </xf>
    <xf numFmtId="0" fontId="23" fillId="25" borderId="11" xfId="0" applyFont="1" applyFill="1" applyBorder="1" applyAlignment="1">
      <alignment wrapText="1"/>
    </xf>
    <xf numFmtId="0" fontId="27" fillId="0" borderId="12" xfId="0" applyFont="1" applyBorder="1" applyAlignment="1">
      <alignment horizontal="center" wrapText="1"/>
    </xf>
    <xf numFmtId="4" fontId="29" fillId="25" borderId="14" xfId="36" applyNumberFormat="1" applyFont="1" applyFill="1" applyBorder="1" applyAlignment="1">
      <alignment horizontal="center" vertical="center" wrapText="1" shrinkToFit="1"/>
    </xf>
    <xf numFmtId="4" fontId="29" fillId="25" borderId="12" xfId="36" applyNumberFormat="1" applyFont="1" applyFill="1" applyBorder="1" applyAlignment="1">
      <alignment horizontal="center" vertical="center" wrapText="1" shrinkToFit="1"/>
    </xf>
    <xf numFmtId="4" fontId="29" fillId="25" borderId="15" xfId="36" applyNumberFormat="1" applyFont="1" applyFill="1" applyBorder="1" applyAlignment="1">
      <alignment horizontal="center" vertical="center" wrapText="1" shrinkToFit="1"/>
    </xf>
    <xf numFmtId="4" fontId="29" fillId="24" borderId="14" xfId="36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43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Лист1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view="pageBreakPreview" topLeftCell="A10" zoomScaleNormal="100" zoomScaleSheetLayoutView="100" workbookViewId="0">
      <selection activeCell="O26" sqref="O26"/>
    </sheetView>
  </sheetViews>
  <sheetFormatPr defaultRowHeight="12.75" x14ac:dyDescent="0.2"/>
  <cols>
    <col min="1" max="1" width="27.140625" customWidth="1"/>
    <col min="2" max="2" width="7.85546875" customWidth="1"/>
    <col min="3" max="3" width="11.85546875" customWidth="1"/>
    <col min="4" max="4" width="11.42578125" customWidth="1"/>
    <col min="5" max="5" width="16.85546875" customWidth="1"/>
    <col min="6" max="6" width="11" customWidth="1"/>
    <col min="7" max="7" width="15.7109375" customWidth="1"/>
    <col min="8" max="8" width="12.140625" customWidth="1"/>
    <col min="9" max="9" width="15.85546875" customWidth="1"/>
    <col min="10" max="10" width="11.42578125" customWidth="1"/>
    <col min="11" max="11" width="16.28515625" customWidth="1"/>
    <col min="12" max="12" width="13" customWidth="1"/>
    <col min="13" max="13" width="15.28515625" customWidth="1"/>
    <col min="14" max="14" width="8.5703125" customWidth="1"/>
    <col min="15" max="15" width="17.7109375" customWidth="1"/>
    <col min="16" max="16" width="8.85546875" customWidth="1"/>
    <col min="17" max="17" width="15.85546875" customWidth="1"/>
  </cols>
  <sheetData>
    <row r="1" spans="1:17" ht="16.5" x14ac:dyDescent="0.25">
      <c r="B1" s="3"/>
      <c r="C1" s="86"/>
      <c r="D1" s="86"/>
      <c r="E1" s="86"/>
      <c r="F1" s="86"/>
      <c r="G1" s="87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30" customHeight="1" x14ac:dyDescent="0.25">
      <c r="A2" s="89" t="s">
        <v>47</v>
      </c>
      <c r="B2" s="89"/>
      <c r="C2" s="89"/>
      <c r="D2" s="89"/>
      <c r="E2" s="89"/>
      <c r="F2" s="89"/>
      <c r="G2" s="89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spans="1:17" ht="16.5" x14ac:dyDescent="0.25">
      <c r="A3" s="85"/>
      <c r="B3" s="85"/>
      <c r="C3" s="85"/>
      <c r="D3" s="85"/>
      <c r="E3" s="85"/>
      <c r="F3" s="85"/>
      <c r="G3" s="85"/>
    </row>
    <row r="4" spans="1:17" ht="16.5" x14ac:dyDescent="0.25">
      <c r="G4" s="2"/>
      <c r="Q4" s="4" t="s">
        <v>40</v>
      </c>
    </row>
    <row r="5" spans="1:17" ht="29.25" customHeight="1" x14ac:dyDescent="0.2">
      <c r="A5" s="91" t="s">
        <v>1</v>
      </c>
      <c r="B5" s="91" t="s">
        <v>6</v>
      </c>
      <c r="C5" s="91" t="s">
        <v>2</v>
      </c>
      <c r="D5" s="83" t="s">
        <v>48</v>
      </c>
      <c r="E5" s="84"/>
      <c r="F5" s="96" t="s">
        <v>49</v>
      </c>
      <c r="G5" s="97"/>
      <c r="H5" s="77" t="s">
        <v>7</v>
      </c>
      <c r="I5" s="78"/>
      <c r="J5" s="78"/>
      <c r="K5" s="78"/>
      <c r="L5" s="78"/>
      <c r="M5" s="79"/>
      <c r="N5" s="83" t="s">
        <v>51</v>
      </c>
      <c r="O5" s="79"/>
      <c r="P5" s="83" t="s">
        <v>52</v>
      </c>
      <c r="Q5" s="79"/>
    </row>
    <row r="6" spans="1:17" ht="19.5" customHeight="1" x14ac:dyDescent="0.2">
      <c r="A6" s="92"/>
      <c r="B6" s="94"/>
      <c r="C6" s="94"/>
      <c r="D6" s="80" t="s">
        <v>8</v>
      </c>
      <c r="E6" s="82" t="s">
        <v>46</v>
      </c>
      <c r="F6" s="80" t="s">
        <v>8</v>
      </c>
      <c r="G6" s="82" t="s">
        <v>46</v>
      </c>
      <c r="H6" s="77" t="s">
        <v>31</v>
      </c>
      <c r="I6" s="79"/>
      <c r="J6" s="83" t="s">
        <v>39</v>
      </c>
      <c r="K6" s="84"/>
      <c r="L6" s="83" t="s">
        <v>50</v>
      </c>
      <c r="M6" s="78"/>
      <c r="N6" s="80" t="s">
        <v>8</v>
      </c>
      <c r="O6" s="82" t="s">
        <v>46</v>
      </c>
      <c r="P6" s="80" t="s">
        <v>8</v>
      </c>
      <c r="Q6" s="82" t="s">
        <v>46</v>
      </c>
    </row>
    <row r="7" spans="1:17" ht="62.25" customHeight="1" x14ac:dyDescent="0.2">
      <c r="A7" s="93"/>
      <c r="B7" s="95"/>
      <c r="C7" s="95"/>
      <c r="D7" s="81"/>
      <c r="E7" s="81"/>
      <c r="F7" s="81"/>
      <c r="G7" s="81"/>
      <c r="H7" s="25" t="s">
        <v>8</v>
      </c>
      <c r="I7" s="26" t="s">
        <v>46</v>
      </c>
      <c r="J7" s="25" t="s">
        <v>8</v>
      </c>
      <c r="K7" s="26" t="s">
        <v>46</v>
      </c>
      <c r="L7" s="25" t="s">
        <v>8</v>
      </c>
      <c r="M7" s="26" t="s">
        <v>46</v>
      </c>
      <c r="N7" s="81"/>
      <c r="O7" s="81"/>
      <c r="P7" s="81"/>
      <c r="Q7" s="98"/>
    </row>
    <row r="8" spans="1:17" x14ac:dyDescent="0.2">
      <c r="A8" s="25">
        <v>1</v>
      </c>
      <c r="B8" s="25">
        <v>2</v>
      </c>
      <c r="C8" s="25">
        <v>3</v>
      </c>
      <c r="D8" s="25">
        <v>4</v>
      </c>
      <c r="E8" s="25">
        <v>5</v>
      </c>
      <c r="F8" s="25">
        <v>6</v>
      </c>
      <c r="G8" s="25">
        <v>7</v>
      </c>
      <c r="H8" s="27">
        <v>8</v>
      </c>
      <c r="I8" s="27">
        <v>9</v>
      </c>
      <c r="J8" s="27">
        <v>10</v>
      </c>
      <c r="K8" s="27">
        <v>11</v>
      </c>
      <c r="L8" s="27">
        <v>12</v>
      </c>
      <c r="M8" s="27">
        <v>13</v>
      </c>
      <c r="N8" s="27">
        <v>14</v>
      </c>
      <c r="O8" s="27">
        <v>15</v>
      </c>
      <c r="P8" s="27">
        <v>16</v>
      </c>
      <c r="Q8" s="27">
        <v>17</v>
      </c>
    </row>
    <row r="9" spans="1:17" ht="45" x14ac:dyDescent="0.25">
      <c r="A9" s="11" t="s">
        <v>32</v>
      </c>
      <c r="B9" s="12"/>
      <c r="C9" s="5"/>
      <c r="D9" s="5"/>
      <c r="E9" s="5"/>
      <c r="F9" s="5"/>
      <c r="G9" s="5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105" x14ac:dyDescent="0.2">
      <c r="A10" s="41" t="s">
        <v>35</v>
      </c>
      <c r="B10" s="12">
        <v>901</v>
      </c>
      <c r="C10" s="5">
        <v>1400000000</v>
      </c>
      <c r="D10" s="15">
        <f t="shared" ref="D10:F10" si="0">D11+D12+D13+D14+D15+D16+D17+D18+D19+D20+D21+D22+D23+D24</f>
        <v>348872</v>
      </c>
      <c r="E10" s="46">
        <f t="shared" si="0"/>
        <v>77642052.930000007</v>
      </c>
      <c r="F10" s="46">
        <f t="shared" si="0"/>
        <v>349247</v>
      </c>
      <c r="G10" s="46">
        <f>G11+G12+G13+G14+G15+G16+G17+G18+G19+G20+G21+G22+G23+G24</f>
        <v>73202000</v>
      </c>
      <c r="H10" s="15">
        <f t="shared" ref="H10:M10" si="1">H11+H12+H13+H14+H15+H16+H17+H18+H19+H20+H21+H22+H23+H24</f>
        <v>349407</v>
      </c>
      <c r="I10" s="15">
        <f t="shared" si="1"/>
        <v>73277700</v>
      </c>
      <c r="J10" s="15">
        <f t="shared" si="1"/>
        <v>349407</v>
      </c>
      <c r="K10" s="15">
        <f t="shared" si="1"/>
        <v>73277700</v>
      </c>
      <c r="L10" s="15">
        <f t="shared" si="1"/>
        <v>349407</v>
      </c>
      <c r="M10" s="15">
        <f t="shared" si="1"/>
        <v>73277700</v>
      </c>
      <c r="N10" s="14">
        <f>H10-D10</f>
        <v>535</v>
      </c>
      <c r="O10" s="14">
        <f>I10-E10</f>
        <v>-4364352.9300000072</v>
      </c>
      <c r="P10" s="14">
        <f>H10-F10</f>
        <v>160</v>
      </c>
      <c r="Q10" s="15">
        <f>I10-G10</f>
        <v>75700</v>
      </c>
    </row>
    <row r="11" spans="1:17" ht="38.25" x14ac:dyDescent="0.2">
      <c r="A11" s="47" t="s">
        <v>9</v>
      </c>
      <c r="B11" s="29">
        <v>901</v>
      </c>
      <c r="C11" s="29">
        <v>1400860241</v>
      </c>
      <c r="D11" s="31">
        <v>4128</v>
      </c>
      <c r="E11" s="30">
        <f>1283899.83+100000</f>
        <v>1383899.83</v>
      </c>
      <c r="F11" s="31">
        <v>4130</v>
      </c>
      <c r="G11" s="30">
        <f>1331447.68+50000</f>
        <v>1381447.6799999999</v>
      </c>
      <c r="H11" s="29">
        <v>4132</v>
      </c>
      <c r="I11" s="30">
        <f>1331447.68+50000</f>
        <v>1381447.6799999999</v>
      </c>
      <c r="J11" s="29">
        <v>4132</v>
      </c>
      <c r="K11" s="30">
        <f>1331447.68+50000</f>
        <v>1381447.6799999999</v>
      </c>
      <c r="L11" s="29">
        <v>4132</v>
      </c>
      <c r="M11" s="30">
        <f>1331447.68+50000</f>
        <v>1381447.6799999999</v>
      </c>
      <c r="N11" s="33">
        <f t="shared" ref="N11:N37" si="2">H11-D11</f>
        <v>4</v>
      </c>
      <c r="O11" s="33">
        <f t="shared" ref="O11:O37" si="3">I11-E11</f>
        <v>-2452.1500000001397</v>
      </c>
      <c r="P11" s="33">
        <f t="shared" ref="P11:P37" si="4">H11-F11</f>
        <v>2</v>
      </c>
      <c r="Q11" s="30">
        <f t="shared" ref="Q11:Q37" si="5">I11-G11</f>
        <v>0</v>
      </c>
    </row>
    <row r="12" spans="1:17" ht="51" x14ac:dyDescent="0.2">
      <c r="A12" s="47" t="s">
        <v>10</v>
      </c>
      <c r="B12" s="29">
        <v>901</v>
      </c>
      <c r="C12" s="29">
        <v>1400860241</v>
      </c>
      <c r="D12" s="31">
        <v>200442</v>
      </c>
      <c r="E12" s="30">
        <f>3209733.69+2921.18+500000+250000</f>
        <v>3962654.87</v>
      </c>
      <c r="F12" s="31">
        <v>200450</v>
      </c>
      <c r="G12" s="30">
        <f>3328617.17+965.04+500+150000+199000</f>
        <v>3679082.21</v>
      </c>
      <c r="H12" s="29">
        <v>200458</v>
      </c>
      <c r="I12" s="30">
        <f>3328617.17+965.04+500+150000+199000</f>
        <v>3679082.21</v>
      </c>
      <c r="J12" s="29">
        <v>200458</v>
      </c>
      <c r="K12" s="30">
        <f>3328617.17+965.04+500+150000+199000</f>
        <v>3679082.21</v>
      </c>
      <c r="L12" s="29">
        <v>200458</v>
      </c>
      <c r="M12" s="30">
        <f>3328617.17+965.04+500+150000+199000</f>
        <v>3679082.21</v>
      </c>
      <c r="N12" s="33">
        <f t="shared" si="2"/>
        <v>16</v>
      </c>
      <c r="O12" s="33">
        <f t="shared" si="3"/>
        <v>-283572.66000000015</v>
      </c>
      <c r="P12" s="33">
        <f t="shared" si="4"/>
        <v>8</v>
      </c>
      <c r="Q12" s="30">
        <f t="shared" si="5"/>
        <v>0</v>
      </c>
    </row>
    <row r="13" spans="1:17" ht="63.75" x14ac:dyDescent="0.2">
      <c r="A13" s="47" t="s">
        <v>11</v>
      </c>
      <c r="B13" s="29">
        <v>901</v>
      </c>
      <c r="C13" s="29">
        <v>1400860241</v>
      </c>
      <c r="D13" s="31">
        <v>56412</v>
      </c>
      <c r="E13" s="30">
        <f>1925841.91+200000</f>
        <v>2125841.91</v>
      </c>
      <c r="F13" s="31">
        <v>56500</v>
      </c>
      <c r="G13" s="30">
        <f>1997170.11+300000+200000</f>
        <v>2497170.1100000003</v>
      </c>
      <c r="H13" s="29">
        <v>56587</v>
      </c>
      <c r="I13" s="30">
        <f>1997170.11+300000+200000</f>
        <v>2497170.1100000003</v>
      </c>
      <c r="J13" s="29">
        <v>56587</v>
      </c>
      <c r="K13" s="30">
        <f>1997170.11+300000+200000</f>
        <v>2497170.1100000003</v>
      </c>
      <c r="L13" s="29">
        <v>56587</v>
      </c>
      <c r="M13" s="30">
        <f>1997170.11+300000+200000</f>
        <v>2497170.1100000003</v>
      </c>
      <c r="N13" s="33">
        <f t="shared" si="2"/>
        <v>175</v>
      </c>
      <c r="O13" s="33">
        <f t="shared" si="3"/>
        <v>371328.20000000019</v>
      </c>
      <c r="P13" s="33">
        <f t="shared" si="4"/>
        <v>87</v>
      </c>
      <c r="Q13" s="30">
        <f t="shared" si="5"/>
        <v>0</v>
      </c>
    </row>
    <row r="14" spans="1:17" ht="51" x14ac:dyDescent="0.2">
      <c r="A14" s="47" t="s">
        <v>12</v>
      </c>
      <c r="B14" s="29">
        <v>901</v>
      </c>
      <c r="C14" s="29">
        <v>1400960241</v>
      </c>
      <c r="D14" s="31">
        <v>25</v>
      </c>
      <c r="E14" s="30">
        <f>443295.72+50000</f>
        <v>493295.72</v>
      </c>
      <c r="F14" s="31">
        <v>25</v>
      </c>
      <c r="G14" s="30">
        <f>313600+100000</f>
        <v>413600</v>
      </c>
      <c r="H14" s="29">
        <v>27</v>
      </c>
      <c r="I14" s="32">
        <v>290000</v>
      </c>
      <c r="J14" s="29">
        <v>27</v>
      </c>
      <c r="K14" s="32">
        <v>290000</v>
      </c>
      <c r="L14" s="29">
        <v>27</v>
      </c>
      <c r="M14" s="32">
        <v>290000</v>
      </c>
      <c r="N14" s="33">
        <f t="shared" si="2"/>
        <v>2</v>
      </c>
      <c r="O14" s="33">
        <f t="shared" si="3"/>
        <v>-203295.71999999997</v>
      </c>
      <c r="P14" s="33">
        <f t="shared" si="4"/>
        <v>2</v>
      </c>
      <c r="Q14" s="30">
        <f t="shared" si="5"/>
        <v>-123600</v>
      </c>
    </row>
    <row r="15" spans="1:17" ht="63.75" x14ac:dyDescent="0.2">
      <c r="A15" s="47" t="s">
        <v>13</v>
      </c>
      <c r="B15" s="29">
        <v>901</v>
      </c>
      <c r="C15" s="29">
        <v>1400960241</v>
      </c>
      <c r="D15" s="31">
        <v>835</v>
      </c>
      <c r="E15" s="30">
        <f>443395.72+60000</f>
        <v>503395.72</v>
      </c>
      <c r="F15" s="31">
        <v>840</v>
      </c>
      <c r="G15" s="30">
        <f>313600+200000</f>
        <v>513600</v>
      </c>
      <c r="H15" s="29">
        <v>841</v>
      </c>
      <c r="I15" s="32">
        <f>290000+100000+200000</f>
        <v>590000</v>
      </c>
      <c r="J15" s="29">
        <v>841</v>
      </c>
      <c r="K15" s="32">
        <f>290000+100000+200000</f>
        <v>590000</v>
      </c>
      <c r="L15" s="29">
        <v>841</v>
      </c>
      <c r="M15" s="32">
        <f>290000+100000+200000</f>
        <v>590000</v>
      </c>
      <c r="N15" s="33">
        <f t="shared" si="2"/>
        <v>6</v>
      </c>
      <c r="O15" s="33">
        <f t="shared" si="3"/>
        <v>86604.280000000028</v>
      </c>
      <c r="P15" s="33">
        <f t="shared" si="4"/>
        <v>1</v>
      </c>
      <c r="Q15" s="30">
        <f t="shared" si="5"/>
        <v>76400</v>
      </c>
    </row>
    <row r="16" spans="1:17" ht="38.25" x14ac:dyDescent="0.2">
      <c r="A16" s="47" t="s">
        <v>14</v>
      </c>
      <c r="B16" s="29">
        <v>901</v>
      </c>
      <c r="C16" s="29">
        <v>1400960241</v>
      </c>
      <c r="D16" s="31">
        <v>3284</v>
      </c>
      <c r="E16" s="30">
        <f>1329887.16+1100000</f>
        <v>2429887.16</v>
      </c>
      <c r="F16" s="31">
        <v>3300</v>
      </c>
      <c r="G16" s="30">
        <f>940800+1000000</f>
        <v>1940800</v>
      </c>
      <c r="H16" s="29">
        <v>3305</v>
      </c>
      <c r="I16" s="32">
        <f>1011100+100000</f>
        <v>1111100</v>
      </c>
      <c r="J16" s="29">
        <v>3305</v>
      </c>
      <c r="K16" s="32">
        <f>1011100+100000</f>
        <v>1111100</v>
      </c>
      <c r="L16" s="29">
        <v>3305</v>
      </c>
      <c r="M16" s="32">
        <f>1011100+100000</f>
        <v>1111100</v>
      </c>
      <c r="N16" s="33">
        <f t="shared" si="2"/>
        <v>21</v>
      </c>
      <c r="O16" s="33">
        <f t="shared" si="3"/>
        <v>-1318787.1600000001</v>
      </c>
      <c r="P16" s="33">
        <f t="shared" si="4"/>
        <v>5</v>
      </c>
      <c r="Q16" s="30">
        <f t="shared" si="5"/>
        <v>-829700</v>
      </c>
    </row>
    <row r="17" spans="1:17" ht="25.5" x14ac:dyDescent="0.2">
      <c r="A17" s="47" t="s">
        <v>15</v>
      </c>
      <c r="B17" s="29">
        <v>901</v>
      </c>
      <c r="C17" s="29">
        <v>1400960241</v>
      </c>
      <c r="D17" s="31">
        <v>492</v>
      </c>
      <c r="E17" s="30">
        <f>9218289+1000000+1300000+500000</f>
        <v>12018289</v>
      </c>
      <c r="F17" s="31">
        <v>500</v>
      </c>
      <c r="G17" s="30">
        <f>10778167.68+500000+1000000+100000</f>
        <v>12378167.68</v>
      </c>
      <c r="H17" s="29">
        <v>502</v>
      </c>
      <c r="I17" s="34">
        <f>9647400+1000000+1000000+1500000</f>
        <v>13147400</v>
      </c>
      <c r="J17" s="29">
        <v>502</v>
      </c>
      <c r="K17" s="34">
        <f>9647400+1000000+1000000+1500000</f>
        <v>13147400</v>
      </c>
      <c r="L17" s="29">
        <v>502</v>
      </c>
      <c r="M17" s="34">
        <f>9647400+1000000+1000000+1500000</f>
        <v>13147400</v>
      </c>
      <c r="N17" s="33">
        <f t="shared" si="2"/>
        <v>10</v>
      </c>
      <c r="O17" s="33">
        <f t="shared" si="3"/>
        <v>1129111</v>
      </c>
      <c r="P17" s="33">
        <f t="shared" si="4"/>
        <v>2</v>
      </c>
      <c r="Q17" s="30">
        <f t="shared" si="5"/>
        <v>769232.3200000003</v>
      </c>
    </row>
    <row r="18" spans="1:17" ht="25.5" x14ac:dyDescent="0.2">
      <c r="A18" s="47" t="s">
        <v>16</v>
      </c>
      <c r="B18" s="29">
        <v>901</v>
      </c>
      <c r="C18" s="29">
        <v>1400960241</v>
      </c>
      <c r="D18" s="31">
        <v>61859</v>
      </c>
      <c r="E18" s="30">
        <f>13827420.33+26534.94+1850000+1800000+681909.97</f>
        <v>18185865.239999998</v>
      </c>
      <c r="F18" s="31">
        <v>62000</v>
      </c>
      <c r="G18" s="30">
        <f>16167251.52+104933.25+1000000+1000000+106447.55</f>
        <v>18378632.32</v>
      </c>
      <c r="H18" s="29">
        <v>62125</v>
      </c>
      <c r="I18" s="34">
        <f>15971100-1627600+2000000+1600000+1500000</f>
        <v>19443500</v>
      </c>
      <c r="J18" s="29">
        <v>62125</v>
      </c>
      <c r="K18" s="34">
        <f>15971100-1627600+2000000+1600000+1500000</f>
        <v>19443500</v>
      </c>
      <c r="L18" s="29">
        <v>62125</v>
      </c>
      <c r="M18" s="34">
        <f>15971100-1627600+2000000+1600000+1500000</f>
        <v>19443500</v>
      </c>
      <c r="N18" s="33">
        <f t="shared" si="2"/>
        <v>266</v>
      </c>
      <c r="O18" s="33">
        <f t="shared" si="3"/>
        <v>1257634.7600000016</v>
      </c>
      <c r="P18" s="33">
        <f t="shared" si="4"/>
        <v>125</v>
      </c>
      <c r="Q18" s="30">
        <f t="shared" si="5"/>
        <v>1064867.6799999997</v>
      </c>
    </row>
    <row r="19" spans="1:17" ht="38.25" x14ac:dyDescent="0.2">
      <c r="A19" s="47" t="s">
        <v>17</v>
      </c>
      <c r="B19" s="29">
        <v>901</v>
      </c>
      <c r="C19" s="29">
        <v>1400960241</v>
      </c>
      <c r="D19" s="31">
        <v>1254</v>
      </c>
      <c r="E19" s="30">
        <f>1807923+500000</f>
        <v>2307923</v>
      </c>
      <c r="F19" s="31">
        <v>1300</v>
      </c>
      <c r="G19" s="30">
        <f>1316000+1000000</f>
        <v>2316000</v>
      </c>
      <c r="H19" s="29">
        <v>1312</v>
      </c>
      <c r="I19" s="32">
        <f>1289600+428400+1000000</f>
        <v>2718000</v>
      </c>
      <c r="J19" s="29">
        <v>1312</v>
      </c>
      <c r="K19" s="32">
        <f>1289600+428400+1000000</f>
        <v>2718000</v>
      </c>
      <c r="L19" s="29">
        <v>1312</v>
      </c>
      <c r="M19" s="32">
        <f>1289600+428400+1000000</f>
        <v>2718000</v>
      </c>
      <c r="N19" s="33">
        <f t="shared" si="2"/>
        <v>58</v>
      </c>
      <c r="O19" s="33">
        <f t="shared" si="3"/>
        <v>410077</v>
      </c>
      <c r="P19" s="33">
        <f t="shared" si="4"/>
        <v>12</v>
      </c>
      <c r="Q19" s="30">
        <f t="shared" si="5"/>
        <v>402000</v>
      </c>
    </row>
    <row r="20" spans="1:17" ht="25.5" x14ac:dyDescent="0.2">
      <c r="A20" s="47" t="s">
        <v>15</v>
      </c>
      <c r="B20" s="29">
        <v>901</v>
      </c>
      <c r="C20" s="29">
        <v>1401060241</v>
      </c>
      <c r="D20" s="31">
        <v>152</v>
      </c>
      <c r="E20" s="30">
        <f>1483200+200000</f>
        <v>1683200</v>
      </c>
      <c r="F20" s="31">
        <v>160</v>
      </c>
      <c r="G20" s="30">
        <f>1625397.25-118737.25+300000+200000</f>
        <v>2006660</v>
      </c>
      <c r="H20" s="29">
        <v>162</v>
      </c>
      <c r="I20" s="32">
        <f>1540240+1000000</f>
        <v>2540240</v>
      </c>
      <c r="J20" s="29">
        <v>162</v>
      </c>
      <c r="K20" s="32">
        <f>1540240+1000000</f>
        <v>2540240</v>
      </c>
      <c r="L20" s="29">
        <v>162</v>
      </c>
      <c r="M20" s="32">
        <f>1540240+1000000</f>
        <v>2540240</v>
      </c>
      <c r="N20" s="33">
        <f t="shared" si="2"/>
        <v>10</v>
      </c>
      <c r="O20" s="33">
        <f t="shared" si="3"/>
        <v>857040</v>
      </c>
      <c r="P20" s="33">
        <f t="shared" si="4"/>
        <v>2</v>
      </c>
      <c r="Q20" s="30">
        <f t="shared" si="5"/>
        <v>533580</v>
      </c>
    </row>
    <row r="21" spans="1:17" ht="25.5" x14ac:dyDescent="0.2">
      <c r="A21" s="47" t="s">
        <v>16</v>
      </c>
      <c r="B21" s="29">
        <v>901</v>
      </c>
      <c r="C21" s="29">
        <v>1401060241</v>
      </c>
      <c r="D21" s="31">
        <v>19452</v>
      </c>
      <c r="E21" s="30">
        <f>2227300+500000</f>
        <v>2727300</v>
      </c>
      <c r="F21" s="31">
        <v>19500</v>
      </c>
      <c r="G21" s="30">
        <f>2214840+700000</f>
        <v>2914840</v>
      </c>
      <c r="H21" s="29">
        <v>19501</v>
      </c>
      <c r="I21" s="32">
        <f>2210360+49400+1020000</f>
        <v>3279760</v>
      </c>
      <c r="J21" s="29">
        <v>19501</v>
      </c>
      <c r="K21" s="32">
        <f>2210360+49400+1020000</f>
        <v>3279760</v>
      </c>
      <c r="L21" s="29">
        <v>19501</v>
      </c>
      <c r="M21" s="32">
        <f>2210360+49400+1020000</f>
        <v>3279760</v>
      </c>
      <c r="N21" s="33">
        <f t="shared" si="2"/>
        <v>49</v>
      </c>
      <c r="O21" s="33">
        <f t="shared" si="3"/>
        <v>552460</v>
      </c>
      <c r="P21" s="33">
        <f t="shared" si="4"/>
        <v>1</v>
      </c>
      <c r="Q21" s="30">
        <f t="shared" si="5"/>
        <v>364920</v>
      </c>
    </row>
    <row r="22" spans="1:17" ht="63.75" x14ac:dyDescent="0.2">
      <c r="A22" s="47" t="s">
        <v>41</v>
      </c>
      <c r="B22" s="29">
        <v>901</v>
      </c>
      <c r="C22" s="29">
        <v>1401660241</v>
      </c>
      <c r="D22" s="31">
        <v>87</v>
      </c>
      <c r="E22" s="30">
        <v>4853200.4800000004</v>
      </c>
      <c r="F22" s="31">
        <v>88</v>
      </c>
      <c r="G22" s="30">
        <v>0</v>
      </c>
      <c r="H22" s="29">
        <v>0</v>
      </c>
      <c r="I22" s="32">
        <v>0</v>
      </c>
      <c r="J22" s="29">
        <v>0</v>
      </c>
      <c r="K22" s="32">
        <v>0</v>
      </c>
      <c r="L22" s="29">
        <v>0</v>
      </c>
      <c r="M22" s="32">
        <v>0</v>
      </c>
      <c r="N22" s="33">
        <v>0</v>
      </c>
      <c r="O22" s="33">
        <f t="shared" si="3"/>
        <v>-4853200.4800000004</v>
      </c>
      <c r="P22" s="33">
        <f t="shared" si="4"/>
        <v>-88</v>
      </c>
      <c r="Q22" s="30">
        <f t="shared" si="5"/>
        <v>0</v>
      </c>
    </row>
    <row r="23" spans="1:17" ht="25.5" x14ac:dyDescent="0.2">
      <c r="A23" s="47" t="s">
        <v>18</v>
      </c>
      <c r="B23" s="29">
        <v>901</v>
      </c>
      <c r="C23" s="29">
        <v>1400360241</v>
      </c>
      <c r="D23" s="31">
        <v>108</v>
      </c>
      <c r="E23" s="30">
        <f>6428794.8+1200000</f>
        <v>7628794.7999999998</v>
      </c>
      <c r="F23" s="31">
        <v>108</v>
      </c>
      <c r="G23" s="30">
        <f>6690304.4+500000+300000</f>
        <v>7490304.4000000004</v>
      </c>
      <c r="H23" s="31">
        <v>109</v>
      </c>
      <c r="I23" s="32">
        <f>6328882+647600</f>
        <v>6976482</v>
      </c>
      <c r="J23" s="31">
        <v>109</v>
      </c>
      <c r="K23" s="32">
        <f>6328882+647600</f>
        <v>6976482</v>
      </c>
      <c r="L23" s="31">
        <v>109</v>
      </c>
      <c r="M23" s="32">
        <f>6328882+647600</f>
        <v>6976482</v>
      </c>
      <c r="N23" s="33">
        <f t="shared" si="2"/>
        <v>1</v>
      </c>
      <c r="O23" s="33">
        <f t="shared" si="3"/>
        <v>-652312.79999999981</v>
      </c>
      <c r="P23" s="33">
        <f t="shared" si="4"/>
        <v>1</v>
      </c>
      <c r="Q23" s="30">
        <f t="shared" si="5"/>
        <v>-513822.40000000037</v>
      </c>
    </row>
    <row r="24" spans="1:17" ht="63.75" x14ac:dyDescent="0.2">
      <c r="A24" s="47" t="s">
        <v>19</v>
      </c>
      <c r="B24" s="29">
        <v>901</v>
      </c>
      <c r="C24" s="29">
        <v>1400360241</v>
      </c>
      <c r="D24" s="31">
        <v>342</v>
      </c>
      <c r="E24" s="30">
        <v>17338505.199999999</v>
      </c>
      <c r="F24" s="31">
        <v>346</v>
      </c>
      <c r="G24" s="30">
        <f>15610710.7+116284.9+807000+757700</f>
        <v>17291695.600000001</v>
      </c>
      <c r="H24" s="31">
        <v>346</v>
      </c>
      <c r="I24" s="32">
        <f>19434058-5310540+1500000</f>
        <v>15623518</v>
      </c>
      <c r="J24" s="31">
        <v>346</v>
      </c>
      <c r="K24" s="32">
        <f>19434058-5310540+1500000</f>
        <v>15623518</v>
      </c>
      <c r="L24" s="31">
        <v>346</v>
      </c>
      <c r="M24" s="32">
        <f>19434058-5310540+1500000</f>
        <v>15623518</v>
      </c>
      <c r="N24" s="33">
        <f t="shared" si="2"/>
        <v>4</v>
      </c>
      <c r="O24" s="33">
        <f t="shared" si="3"/>
        <v>-1714987.1999999993</v>
      </c>
      <c r="P24" s="33">
        <f t="shared" si="4"/>
        <v>0</v>
      </c>
      <c r="Q24" s="30">
        <f t="shared" si="5"/>
        <v>-1668177.6000000015</v>
      </c>
    </row>
    <row r="25" spans="1:17" ht="105" customHeight="1" x14ac:dyDescent="0.25">
      <c r="A25" s="48" t="s">
        <v>36</v>
      </c>
      <c r="B25" s="17" t="s">
        <v>33</v>
      </c>
      <c r="C25" s="17" t="s">
        <v>4</v>
      </c>
      <c r="D25" s="18">
        <f t="shared" ref="D25:M25" si="6">D26</f>
        <v>115</v>
      </c>
      <c r="E25" s="18">
        <v>2730000</v>
      </c>
      <c r="F25" s="18">
        <f t="shared" si="6"/>
        <v>111</v>
      </c>
      <c r="G25" s="18">
        <f t="shared" si="6"/>
        <v>2800000</v>
      </c>
      <c r="H25" s="18">
        <f t="shared" si="6"/>
        <v>110</v>
      </c>
      <c r="I25" s="18">
        <f t="shared" si="6"/>
        <v>2000000</v>
      </c>
      <c r="J25" s="18">
        <f t="shared" si="6"/>
        <v>110</v>
      </c>
      <c r="K25" s="18">
        <f t="shared" si="6"/>
        <v>2000000</v>
      </c>
      <c r="L25" s="18">
        <f t="shared" si="6"/>
        <v>110</v>
      </c>
      <c r="M25" s="18">
        <f t="shared" si="6"/>
        <v>2000000</v>
      </c>
      <c r="N25" s="14">
        <f t="shared" si="2"/>
        <v>-5</v>
      </c>
      <c r="O25" s="14">
        <f t="shared" si="3"/>
        <v>-730000</v>
      </c>
      <c r="P25" s="14">
        <f t="shared" si="4"/>
        <v>-1</v>
      </c>
      <c r="Q25" s="15">
        <f t="shared" si="5"/>
        <v>-800000</v>
      </c>
    </row>
    <row r="26" spans="1:17" ht="66.75" customHeight="1" x14ac:dyDescent="0.2">
      <c r="A26" s="35" t="s">
        <v>26</v>
      </c>
      <c r="B26" s="36" t="s">
        <v>33</v>
      </c>
      <c r="C26" s="36" t="s">
        <v>38</v>
      </c>
      <c r="D26" s="37">
        <v>115</v>
      </c>
      <c r="E26" s="42">
        <v>2730000</v>
      </c>
      <c r="F26" s="37">
        <v>111</v>
      </c>
      <c r="G26" s="38">
        <v>2800000</v>
      </c>
      <c r="H26" s="37">
        <v>110</v>
      </c>
      <c r="I26" s="39">
        <v>2000000</v>
      </c>
      <c r="J26" s="39">
        <v>110</v>
      </c>
      <c r="K26" s="39">
        <v>2000000</v>
      </c>
      <c r="L26" s="39">
        <v>110</v>
      </c>
      <c r="M26" s="39">
        <v>2000000</v>
      </c>
      <c r="N26" s="33">
        <f t="shared" si="2"/>
        <v>-5</v>
      </c>
      <c r="O26" s="33">
        <f t="shared" si="3"/>
        <v>-730000</v>
      </c>
      <c r="P26" s="33">
        <f t="shared" si="4"/>
        <v>-1</v>
      </c>
      <c r="Q26" s="30">
        <f t="shared" si="5"/>
        <v>-800000</v>
      </c>
    </row>
    <row r="27" spans="1:17" ht="90" customHeight="1" x14ac:dyDescent="0.25">
      <c r="A27" s="16" t="s">
        <v>42</v>
      </c>
      <c r="B27" s="17" t="s">
        <v>33</v>
      </c>
      <c r="C27" s="17" t="s">
        <v>43</v>
      </c>
      <c r="D27" s="44">
        <f>D28</f>
        <v>0</v>
      </c>
      <c r="E27" s="44">
        <f t="shared" ref="E27:M27" si="7">E28</f>
        <v>0</v>
      </c>
      <c r="F27" s="44">
        <v>110</v>
      </c>
      <c r="G27" s="44">
        <f t="shared" si="7"/>
        <v>8918300</v>
      </c>
      <c r="H27" s="44">
        <f t="shared" si="7"/>
        <v>110</v>
      </c>
      <c r="I27" s="44">
        <f t="shared" si="7"/>
        <v>9000000</v>
      </c>
      <c r="J27" s="44">
        <f t="shared" si="7"/>
        <v>110</v>
      </c>
      <c r="K27" s="44">
        <f t="shared" si="7"/>
        <v>9000000</v>
      </c>
      <c r="L27" s="44">
        <f t="shared" si="7"/>
        <v>110</v>
      </c>
      <c r="M27" s="44">
        <f t="shared" si="7"/>
        <v>9000000</v>
      </c>
      <c r="N27" s="14">
        <f t="shared" ref="N27:N28" si="8">H27-D27</f>
        <v>110</v>
      </c>
      <c r="O27" s="14">
        <f t="shared" ref="O27:O28" si="9">I27-E27</f>
        <v>9000000</v>
      </c>
      <c r="P27" s="14">
        <f t="shared" ref="P27:P28" si="10">H27-F27</f>
        <v>0</v>
      </c>
      <c r="Q27" s="15">
        <f t="shared" ref="Q27:Q28" si="11">I27-G27</f>
        <v>81700</v>
      </c>
    </row>
    <row r="28" spans="1:17" ht="66.75" customHeight="1" x14ac:dyDescent="0.2">
      <c r="A28" s="43" t="s">
        <v>44</v>
      </c>
      <c r="B28" s="36" t="s">
        <v>33</v>
      </c>
      <c r="C28" s="45" t="s">
        <v>45</v>
      </c>
      <c r="D28" s="37">
        <v>0</v>
      </c>
      <c r="E28" s="42">
        <v>0</v>
      </c>
      <c r="F28" s="37">
        <v>110</v>
      </c>
      <c r="G28" s="38">
        <v>8918300</v>
      </c>
      <c r="H28" s="37">
        <v>110</v>
      </c>
      <c r="I28" s="39">
        <v>9000000</v>
      </c>
      <c r="J28" s="39">
        <v>110</v>
      </c>
      <c r="K28" s="39">
        <v>9000000</v>
      </c>
      <c r="L28" s="39">
        <v>110</v>
      </c>
      <c r="M28" s="39">
        <v>9000000</v>
      </c>
      <c r="N28" s="33">
        <f t="shared" si="8"/>
        <v>110</v>
      </c>
      <c r="O28" s="33">
        <f t="shared" si="9"/>
        <v>9000000</v>
      </c>
      <c r="P28" s="33">
        <f t="shared" si="10"/>
        <v>0</v>
      </c>
      <c r="Q28" s="30">
        <f t="shared" si="11"/>
        <v>81700</v>
      </c>
    </row>
    <row r="29" spans="1:17" ht="60" x14ac:dyDescent="0.25">
      <c r="A29" s="10" t="s">
        <v>34</v>
      </c>
      <c r="B29" s="6"/>
      <c r="C29" s="6"/>
      <c r="D29" s="8"/>
      <c r="E29" s="8"/>
      <c r="F29" s="8"/>
      <c r="G29" s="7"/>
      <c r="H29" s="8"/>
      <c r="I29" s="9"/>
      <c r="J29" s="9"/>
      <c r="K29" s="9"/>
      <c r="L29" s="9"/>
      <c r="M29" s="9"/>
      <c r="N29" s="14"/>
      <c r="O29" s="14"/>
      <c r="P29" s="14"/>
      <c r="Q29" s="28"/>
    </row>
    <row r="30" spans="1:17" ht="75" x14ac:dyDescent="0.25">
      <c r="A30" s="48" t="s">
        <v>37</v>
      </c>
      <c r="B30" s="49" t="s">
        <v>0</v>
      </c>
      <c r="C30" s="49" t="s">
        <v>5</v>
      </c>
      <c r="D30" s="50">
        <f t="shared" ref="D30" si="12">D31+D32+D33+D34+D35+D36</f>
        <v>7287</v>
      </c>
      <c r="E30" s="50">
        <f>E31+E32+E33+E34+E35+E36</f>
        <v>659544527.05499995</v>
      </c>
      <c r="F30" s="50">
        <f t="shared" ref="F30:L30" si="13">F31+F32+F33+F34+F35+F36</f>
        <v>7185</v>
      </c>
      <c r="G30" s="50">
        <f t="shared" si="13"/>
        <v>677816421.61999989</v>
      </c>
      <c r="H30" s="19">
        <f t="shared" si="13"/>
        <v>7185</v>
      </c>
      <c r="I30" s="50">
        <f t="shared" si="13"/>
        <v>838708925.02999985</v>
      </c>
      <c r="J30" s="50">
        <f t="shared" si="13"/>
        <v>7185</v>
      </c>
      <c r="K30" s="50">
        <f t="shared" si="13"/>
        <v>835046358.16999996</v>
      </c>
      <c r="L30" s="50">
        <f t="shared" si="13"/>
        <v>7185</v>
      </c>
      <c r="M30" s="19">
        <f t="shared" ref="M30" si="14">M31+M32+M33+M34+M35+M36</f>
        <v>880334671.30999994</v>
      </c>
      <c r="N30" s="14">
        <f t="shared" si="2"/>
        <v>-102</v>
      </c>
      <c r="O30" s="15">
        <f t="shared" si="3"/>
        <v>179164397.9749999</v>
      </c>
      <c r="P30" s="14">
        <f t="shared" si="4"/>
        <v>0</v>
      </c>
      <c r="Q30" s="28">
        <f t="shared" si="5"/>
        <v>160892503.40999997</v>
      </c>
    </row>
    <row r="31" spans="1:17" ht="63.75" x14ac:dyDescent="0.2">
      <c r="A31" s="51" t="s">
        <v>20</v>
      </c>
      <c r="B31" s="52" t="s">
        <v>0</v>
      </c>
      <c r="C31" s="53" t="s">
        <v>27</v>
      </c>
      <c r="D31" s="40">
        <v>2459</v>
      </c>
      <c r="E31" s="40">
        <f>139049591.64+20000000+2193788.02</f>
        <v>161243379.66</v>
      </c>
      <c r="F31" s="40">
        <v>2468</v>
      </c>
      <c r="G31" s="40">
        <v>151994929</v>
      </c>
      <c r="H31" s="38">
        <v>2468</v>
      </c>
      <c r="I31" s="38">
        <v>163844607</v>
      </c>
      <c r="J31" s="38">
        <v>2468</v>
      </c>
      <c r="K31" s="38">
        <v>171535041</v>
      </c>
      <c r="L31" s="38">
        <v>2468</v>
      </c>
      <c r="M31" s="38">
        <v>179346436</v>
      </c>
      <c r="N31" s="33">
        <f t="shared" si="2"/>
        <v>9</v>
      </c>
      <c r="O31" s="30">
        <f t="shared" si="3"/>
        <v>2601227.3400000036</v>
      </c>
      <c r="P31" s="33">
        <f t="shared" si="4"/>
        <v>0</v>
      </c>
      <c r="Q31" s="30">
        <f t="shared" si="5"/>
        <v>11849678</v>
      </c>
    </row>
    <row r="32" spans="1:17" ht="51" x14ac:dyDescent="0.2">
      <c r="A32" s="51" t="s">
        <v>21</v>
      </c>
      <c r="B32" s="52" t="s">
        <v>0</v>
      </c>
      <c r="C32" s="53" t="s">
        <v>28</v>
      </c>
      <c r="D32" s="40">
        <v>1433</v>
      </c>
      <c r="E32" s="40">
        <f>161464295.52-0.05+30000000</f>
        <v>191464295.47</v>
      </c>
      <c r="F32" s="40">
        <v>1434</v>
      </c>
      <c r="G32" s="40">
        <f>201346203.85+7568158.18+5000000+1500000</f>
        <v>215414362.03</v>
      </c>
      <c r="H32" s="40">
        <v>1434</v>
      </c>
      <c r="I32" s="40">
        <f>201346203.85+7568158.18+5000000+1500000+65000000</f>
        <v>280414362.02999997</v>
      </c>
      <c r="J32" s="40">
        <v>1434</v>
      </c>
      <c r="K32" s="40">
        <f>201346203.85+7568158.18+5000000+1500000+65000000-1512676.26</f>
        <v>278901685.76999998</v>
      </c>
      <c r="L32" s="40">
        <v>1434</v>
      </c>
      <c r="M32" s="40">
        <f>201346203.85+7568158.18+5000000+1500000+65000000-1512676.26+13000000</f>
        <v>291901685.76999998</v>
      </c>
      <c r="N32" s="33">
        <f t="shared" si="2"/>
        <v>1</v>
      </c>
      <c r="O32" s="30">
        <f t="shared" si="3"/>
        <v>88950066.559999973</v>
      </c>
      <c r="P32" s="33">
        <f t="shared" si="4"/>
        <v>0</v>
      </c>
      <c r="Q32" s="30">
        <f t="shared" si="5"/>
        <v>64999999.99999997</v>
      </c>
    </row>
    <row r="33" spans="1:17" ht="51" x14ac:dyDescent="0.2">
      <c r="A33" s="51" t="s">
        <v>22</v>
      </c>
      <c r="B33" s="52" t="s">
        <v>0</v>
      </c>
      <c r="C33" s="53" t="s">
        <v>28</v>
      </c>
      <c r="D33" s="40">
        <v>1558</v>
      </c>
      <c r="E33" s="40">
        <f>189108940.05-2963810.005+40000000</f>
        <v>226145130.04500002</v>
      </c>
      <c r="F33" s="40">
        <v>1562</v>
      </c>
      <c r="G33" s="40">
        <f>219318528.76+9000000+5000000+4012045.52</f>
        <v>237330574.28</v>
      </c>
      <c r="H33" s="40">
        <v>1562</v>
      </c>
      <c r="I33" s="40">
        <f>219318528.76+9000000+5000000+4012045.52+65000000</f>
        <v>302330574.27999997</v>
      </c>
      <c r="J33" s="40">
        <v>1562</v>
      </c>
      <c r="K33" s="40">
        <f>219318528.76+9000000+5000000+4012045.52+65000000</f>
        <v>302330574.27999997</v>
      </c>
      <c r="L33" s="40">
        <v>1562</v>
      </c>
      <c r="M33" s="40">
        <f>219318528.76+9000000+5000000+4012045.52+65000000+17876918.14</f>
        <v>320207492.41999996</v>
      </c>
      <c r="N33" s="33">
        <f t="shared" si="2"/>
        <v>4</v>
      </c>
      <c r="O33" s="30">
        <f t="shared" si="3"/>
        <v>76185444.234999955</v>
      </c>
      <c r="P33" s="33">
        <f t="shared" si="4"/>
        <v>0</v>
      </c>
      <c r="Q33" s="30">
        <f t="shared" si="5"/>
        <v>64999999.99999997</v>
      </c>
    </row>
    <row r="34" spans="1:17" ht="51" x14ac:dyDescent="0.2">
      <c r="A34" s="51" t="s">
        <v>23</v>
      </c>
      <c r="B34" s="52" t="s">
        <v>0</v>
      </c>
      <c r="C34" s="53" t="s">
        <v>28</v>
      </c>
      <c r="D34" s="40">
        <v>195</v>
      </c>
      <c r="E34" s="40">
        <f>34494647.43+3000000</f>
        <v>37494647.43</v>
      </c>
      <c r="F34" s="40">
        <v>195</v>
      </c>
      <c r="G34" s="40">
        <f>27379716.29+5000000+5000000+1000000</f>
        <v>38379716.289999999</v>
      </c>
      <c r="H34" s="40">
        <v>195</v>
      </c>
      <c r="I34" s="40">
        <f>27379716.29+5000000+5000000+1000000+15253246.63</f>
        <v>53632962.920000002</v>
      </c>
      <c r="J34" s="40">
        <v>195</v>
      </c>
      <c r="K34" s="40">
        <f>27379716.29+5000000+5000000+1000000+15253246.63</f>
        <v>53632962.920000002</v>
      </c>
      <c r="L34" s="40">
        <v>195</v>
      </c>
      <c r="M34" s="40">
        <f>27379716.29+5000000+5000000+1000000+15253246.63+5000000</f>
        <v>58632962.920000002</v>
      </c>
      <c r="N34" s="33">
        <f t="shared" si="2"/>
        <v>0</v>
      </c>
      <c r="O34" s="30">
        <f t="shared" si="3"/>
        <v>16138315.490000002</v>
      </c>
      <c r="P34" s="33">
        <f t="shared" si="4"/>
        <v>0</v>
      </c>
      <c r="Q34" s="30">
        <f t="shared" si="5"/>
        <v>15253246.630000003</v>
      </c>
    </row>
    <row r="35" spans="1:17" ht="25.5" x14ac:dyDescent="0.2">
      <c r="A35" s="51" t="s">
        <v>24</v>
      </c>
      <c r="B35" s="52" t="s">
        <v>0</v>
      </c>
      <c r="C35" s="53" t="s">
        <v>29</v>
      </c>
      <c r="D35" s="40">
        <v>1485</v>
      </c>
      <c r="E35" s="40">
        <f>35829582.91+4645599.3</f>
        <v>40475182.209999993</v>
      </c>
      <c r="F35" s="40">
        <v>1490</v>
      </c>
      <c r="G35" s="40">
        <v>30905055.02</v>
      </c>
      <c r="H35" s="38">
        <v>1490</v>
      </c>
      <c r="I35" s="38">
        <v>33850000</v>
      </c>
      <c r="J35" s="38">
        <v>1490</v>
      </c>
      <c r="K35" s="38">
        <v>26000000</v>
      </c>
      <c r="L35" s="38">
        <v>1490</v>
      </c>
      <c r="M35" s="38">
        <v>27600000</v>
      </c>
      <c r="N35" s="33">
        <f t="shared" si="2"/>
        <v>5</v>
      </c>
      <c r="O35" s="30">
        <f t="shared" si="3"/>
        <v>-6625182.2099999934</v>
      </c>
      <c r="P35" s="33">
        <f t="shared" si="4"/>
        <v>0</v>
      </c>
      <c r="Q35" s="30">
        <f t="shared" si="5"/>
        <v>2944944.9800000004</v>
      </c>
    </row>
    <row r="36" spans="1:17" ht="25.5" x14ac:dyDescent="0.2">
      <c r="A36" s="51" t="s">
        <v>25</v>
      </c>
      <c r="B36" s="52" t="s">
        <v>0</v>
      </c>
      <c r="C36" s="53" t="s">
        <v>30</v>
      </c>
      <c r="D36" s="40">
        <v>157</v>
      </c>
      <c r="E36" s="40">
        <v>2721892.24</v>
      </c>
      <c r="F36" s="40">
        <v>36</v>
      </c>
      <c r="G36" s="40">
        <v>3791785</v>
      </c>
      <c r="H36" s="38">
        <v>36</v>
      </c>
      <c r="I36" s="38">
        <v>4636418.8</v>
      </c>
      <c r="J36" s="38">
        <v>36</v>
      </c>
      <c r="K36" s="38">
        <v>2646094.2000000002</v>
      </c>
      <c r="L36" s="38">
        <v>36</v>
      </c>
      <c r="M36" s="38">
        <v>2646094.2000000002</v>
      </c>
      <c r="N36" s="33">
        <f t="shared" si="2"/>
        <v>-121</v>
      </c>
      <c r="O36" s="30">
        <f t="shared" si="3"/>
        <v>1914526.5599999996</v>
      </c>
      <c r="P36" s="33">
        <f t="shared" si="4"/>
        <v>0</v>
      </c>
      <c r="Q36" s="30">
        <f t="shared" si="5"/>
        <v>844633.79999999981</v>
      </c>
    </row>
    <row r="37" spans="1:17" s="1" customFormat="1" ht="14.25" x14ac:dyDescent="0.2">
      <c r="A37" s="20" t="s">
        <v>3</v>
      </c>
      <c r="B37" s="21"/>
      <c r="C37" s="21"/>
      <c r="D37" s="22">
        <f>D10+D25+D27+D30</f>
        <v>356274</v>
      </c>
      <c r="E37" s="22">
        <f t="shared" ref="E37:M37" si="15">E10+E25+E27+E30</f>
        <v>739916579.9849999</v>
      </c>
      <c r="F37" s="22">
        <f t="shared" si="15"/>
        <v>356653</v>
      </c>
      <c r="G37" s="22">
        <f t="shared" si="15"/>
        <v>762736721.61999989</v>
      </c>
      <c r="H37" s="22">
        <f t="shared" si="15"/>
        <v>356812</v>
      </c>
      <c r="I37" s="22">
        <f t="shared" si="15"/>
        <v>922986625.02999985</v>
      </c>
      <c r="J37" s="22">
        <f t="shared" si="15"/>
        <v>356812</v>
      </c>
      <c r="K37" s="22">
        <f t="shared" si="15"/>
        <v>919324058.16999996</v>
      </c>
      <c r="L37" s="22">
        <f t="shared" si="15"/>
        <v>356812</v>
      </c>
      <c r="M37" s="22">
        <f t="shared" si="15"/>
        <v>964612371.30999994</v>
      </c>
      <c r="N37" s="23">
        <f t="shared" si="2"/>
        <v>538</v>
      </c>
      <c r="O37" s="24">
        <f t="shared" si="3"/>
        <v>183070045.04499996</v>
      </c>
      <c r="P37" s="23">
        <f t="shared" si="4"/>
        <v>159</v>
      </c>
      <c r="Q37" s="24">
        <f t="shared" si="5"/>
        <v>160249903.40999997</v>
      </c>
    </row>
  </sheetData>
  <mergeCells count="22">
    <mergeCell ref="A3:G3"/>
    <mergeCell ref="C1:Q1"/>
    <mergeCell ref="E6:E7"/>
    <mergeCell ref="G6:G7"/>
    <mergeCell ref="A2:Q2"/>
    <mergeCell ref="A5:A7"/>
    <mergeCell ref="B5:B7"/>
    <mergeCell ref="C5:C7"/>
    <mergeCell ref="D5:E5"/>
    <mergeCell ref="D6:D7"/>
    <mergeCell ref="F6:F7"/>
    <mergeCell ref="F5:G5"/>
    <mergeCell ref="Q6:Q7"/>
    <mergeCell ref="N5:O5"/>
    <mergeCell ref="P5:Q5"/>
    <mergeCell ref="L6:M6"/>
    <mergeCell ref="H5:M5"/>
    <mergeCell ref="N6:N7"/>
    <mergeCell ref="O6:O7"/>
    <mergeCell ref="P6:P7"/>
    <mergeCell ref="H6:I6"/>
    <mergeCell ref="J6:K6"/>
  </mergeCells>
  <phoneticPr fontId="20" type="noConversion"/>
  <pageMargins left="0" right="0" top="0.78740157480314965" bottom="0.6692913385826772" header="0.51181102362204722" footer="0.51181102362204722"/>
  <pageSetup paperSize="9" scale="6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abSelected="1" view="pageBreakPreview" zoomScaleNormal="100" zoomScaleSheetLayoutView="100" workbookViewId="0">
      <selection activeCell="I10" sqref="I10"/>
    </sheetView>
  </sheetViews>
  <sheetFormatPr defaultRowHeight="12.75" x14ac:dyDescent="0.2"/>
  <cols>
    <col min="1" max="1" width="27.140625" customWidth="1"/>
    <col min="2" max="2" width="7.85546875" customWidth="1"/>
    <col min="3" max="3" width="11.85546875" customWidth="1"/>
    <col min="4" max="4" width="11.42578125" customWidth="1"/>
    <col min="5" max="5" width="16.85546875" customWidth="1"/>
    <col min="6" max="6" width="11" customWidth="1"/>
    <col min="7" max="7" width="15.7109375" customWidth="1"/>
    <col min="8" max="8" width="12.140625" customWidth="1"/>
    <col min="9" max="9" width="15.85546875" customWidth="1"/>
    <col min="10" max="10" width="11.42578125" customWidth="1"/>
    <col min="11" max="11" width="16.28515625" customWidth="1"/>
    <col min="12" max="12" width="13" customWidth="1"/>
    <col min="13" max="13" width="15.28515625" customWidth="1"/>
    <col min="14" max="14" width="12.5703125" customWidth="1"/>
    <col min="15" max="15" width="17.7109375" customWidth="1"/>
    <col min="16" max="16" width="8.85546875" customWidth="1"/>
    <col min="17" max="17" width="15.85546875" customWidth="1"/>
  </cols>
  <sheetData>
    <row r="1" spans="1:17" ht="16.5" x14ac:dyDescent="0.25">
      <c r="B1" s="3"/>
      <c r="C1" s="86"/>
      <c r="D1" s="86"/>
      <c r="E1" s="86"/>
      <c r="F1" s="86"/>
      <c r="G1" s="87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30" customHeight="1" x14ac:dyDescent="0.25">
      <c r="A2" s="89" t="s">
        <v>76</v>
      </c>
      <c r="B2" s="89"/>
      <c r="C2" s="89"/>
      <c r="D2" s="89"/>
      <c r="E2" s="89"/>
      <c r="F2" s="89"/>
      <c r="G2" s="89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spans="1:17" ht="16.5" x14ac:dyDescent="0.25">
      <c r="A3" s="85"/>
      <c r="B3" s="85"/>
      <c r="C3" s="85"/>
      <c r="D3" s="85"/>
      <c r="E3" s="85"/>
      <c r="F3" s="85"/>
      <c r="G3" s="85"/>
    </row>
    <row r="4" spans="1:17" ht="16.5" x14ac:dyDescent="0.25">
      <c r="G4" s="54"/>
      <c r="Q4" s="54" t="s">
        <v>40</v>
      </c>
    </row>
    <row r="5" spans="1:17" ht="29.25" customHeight="1" x14ac:dyDescent="0.2">
      <c r="A5" s="91" t="s">
        <v>1</v>
      </c>
      <c r="B5" s="91" t="s">
        <v>6</v>
      </c>
      <c r="C5" s="91" t="s">
        <v>2</v>
      </c>
      <c r="D5" s="83" t="s">
        <v>48</v>
      </c>
      <c r="E5" s="84"/>
      <c r="F5" s="96" t="s">
        <v>49</v>
      </c>
      <c r="G5" s="97"/>
      <c r="H5" s="77" t="s">
        <v>7</v>
      </c>
      <c r="I5" s="78"/>
      <c r="J5" s="78"/>
      <c r="K5" s="78"/>
      <c r="L5" s="78"/>
      <c r="M5" s="79"/>
      <c r="N5" s="83" t="s">
        <v>51</v>
      </c>
      <c r="O5" s="79"/>
      <c r="P5" s="83" t="s">
        <v>52</v>
      </c>
      <c r="Q5" s="79"/>
    </row>
    <row r="6" spans="1:17" ht="19.5" customHeight="1" x14ac:dyDescent="0.2">
      <c r="A6" s="92"/>
      <c r="B6" s="94"/>
      <c r="C6" s="94"/>
      <c r="D6" s="80" t="s">
        <v>8</v>
      </c>
      <c r="E6" s="82" t="s">
        <v>46</v>
      </c>
      <c r="F6" s="80" t="s">
        <v>8</v>
      </c>
      <c r="G6" s="82" t="s">
        <v>46</v>
      </c>
      <c r="H6" s="77" t="s">
        <v>31</v>
      </c>
      <c r="I6" s="79"/>
      <c r="J6" s="83" t="s">
        <v>39</v>
      </c>
      <c r="K6" s="84"/>
      <c r="L6" s="83" t="s">
        <v>50</v>
      </c>
      <c r="M6" s="78"/>
      <c r="N6" s="80" t="s">
        <v>8</v>
      </c>
      <c r="O6" s="82" t="s">
        <v>46</v>
      </c>
      <c r="P6" s="80" t="s">
        <v>8</v>
      </c>
      <c r="Q6" s="82" t="s">
        <v>46</v>
      </c>
    </row>
    <row r="7" spans="1:17" ht="62.25" customHeight="1" x14ac:dyDescent="0.2">
      <c r="A7" s="93"/>
      <c r="B7" s="95"/>
      <c r="C7" s="95"/>
      <c r="D7" s="81"/>
      <c r="E7" s="81"/>
      <c r="F7" s="81"/>
      <c r="G7" s="81"/>
      <c r="H7" s="25" t="s">
        <v>8</v>
      </c>
      <c r="I7" s="26" t="s">
        <v>46</v>
      </c>
      <c r="J7" s="25" t="s">
        <v>8</v>
      </c>
      <c r="K7" s="26" t="s">
        <v>46</v>
      </c>
      <c r="L7" s="25" t="s">
        <v>8</v>
      </c>
      <c r="M7" s="26" t="s">
        <v>46</v>
      </c>
      <c r="N7" s="81"/>
      <c r="O7" s="81"/>
      <c r="P7" s="81"/>
      <c r="Q7" s="98"/>
    </row>
    <row r="8" spans="1:17" x14ac:dyDescent="0.2">
      <c r="A8" s="25">
        <v>1</v>
      </c>
      <c r="B8" s="25">
        <v>2</v>
      </c>
      <c r="C8" s="25">
        <v>3</v>
      </c>
      <c r="D8" s="25">
        <v>4</v>
      </c>
      <c r="E8" s="25">
        <v>5</v>
      </c>
      <c r="F8" s="25">
        <v>6</v>
      </c>
      <c r="G8" s="25">
        <v>7</v>
      </c>
      <c r="H8" s="27">
        <v>8</v>
      </c>
      <c r="I8" s="27">
        <v>9</v>
      </c>
      <c r="J8" s="27">
        <v>10</v>
      </c>
      <c r="K8" s="27">
        <v>11</v>
      </c>
      <c r="L8" s="27">
        <v>12</v>
      </c>
      <c r="M8" s="27">
        <v>13</v>
      </c>
      <c r="N8" s="27">
        <v>14</v>
      </c>
      <c r="O8" s="27">
        <v>15</v>
      </c>
      <c r="P8" s="27">
        <v>16</v>
      </c>
      <c r="Q8" s="27">
        <v>17</v>
      </c>
    </row>
    <row r="9" spans="1:17" ht="45" x14ac:dyDescent="0.25">
      <c r="A9" s="11" t="s">
        <v>53</v>
      </c>
      <c r="B9" s="12"/>
      <c r="C9" s="5"/>
      <c r="D9" s="5"/>
      <c r="E9" s="5"/>
      <c r="F9" s="5"/>
      <c r="G9" s="5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60" x14ac:dyDescent="0.2">
      <c r="A10" s="11" t="s">
        <v>67</v>
      </c>
      <c r="B10" s="12">
        <v>198</v>
      </c>
      <c r="C10" s="5">
        <v>9999922041</v>
      </c>
      <c r="D10" s="15">
        <v>133.18199999999999</v>
      </c>
      <c r="E10" s="15">
        <v>2930000</v>
      </c>
      <c r="F10" s="5">
        <v>113.7</v>
      </c>
      <c r="G10" s="15">
        <v>2500000</v>
      </c>
      <c r="H10" s="66">
        <v>119.318</v>
      </c>
      <c r="I10" s="15">
        <v>2650000</v>
      </c>
      <c r="J10" s="66">
        <v>125.28400000000001</v>
      </c>
      <c r="K10" s="15">
        <v>2756250</v>
      </c>
      <c r="L10" s="66">
        <v>131.548</v>
      </c>
      <c r="M10" s="15">
        <v>2894063</v>
      </c>
      <c r="N10" s="33">
        <f t="shared" ref="N10:O17" si="0">H10-D10</f>
        <v>-13.86399999999999</v>
      </c>
      <c r="O10" s="30">
        <f t="shared" si="0"/>
        <v>-280000</v>
      </c>
      <c r="P10" s="33">
        <f t="shared" ref="P10:Q25" si="1">H10-F10</f>
        <v>5.617999999999995</v>
      </c>
      <c r="Q10" s="30">
        <f t="shared" si="1"/>
        <v>150000</v>
      </c>
    </row>
    <row r="11" spans="1:17" ht="45" x14ac:dyDescent="0.25">
      <c r="A11" s="55" t="s">
        <v>54</v>
      </c>
      <c r="B11" s="6"/>
      <c r="C11" s="6"/>
      <c r="D11" s="8"/>
      <c r="E11" s="8"/>
      <c r="F11" s="8"/>
      <c r="G11" s="7"/>
      <c r="H11" s="8"/>
      <c r="I11" s="9"/>
      <c r="J11" s="9"/>
      <c r="K11" s="9"/>
      <c r="L11" s="9"/>
      <c r="M11" s="9"/>
      <c r="N11" s="14"/>
      <c r="O11" s="14"/>
      <c r="P11" s="14"/>
      <c r="Q11" s="28"/>
    </row>
    <row r="12" spans="1:17" ht="60" x14ac:dyDescent="0.25">
      <c r="A12" s="56" t="s">
        <v>55</v>
      </c>
      <c r="B12" s="57" t="s">
        <v>58</v>
      </c>
      <c r="C12" s="57"/>
      <c r="D12" s="58">
        <f>D13+D14+D15+D16</f>
        <v>4751</v>
      </c>
      <c r="E12" s="58">
        <f t="shared" ref="E12:M12" si="2">E13+E14+E15+E16</f>
        <v>559085810</v>
      </c>
      <c r="F12" s="58">
        <f t="shared" si="2"/>
        <v>5288</v>
      </c>
      <c r="G12" s="58">
        <f t="shared" si="2"/>
        <v>616754670</v>
      </c>
      <c r="H12" s="58">
        <f t="shared" si="2"/>
        <v>5511</v>
      </c>
      <c r="I12" s="58">
        <f t="shared" si="2"/>
        <v>690399578</v>
      </c>
      <c r="J12" s="58">
        <f t="shared" si="2"/>
        <v>5226</v>
      </c>
      <c r="K12" s="58">
        <f t="shared" si="2"/>
        <v>634803160</v>
      </c>
      <c r="L12" s="58">
        <f t="shared" si="2"/>
        <v>5226</v>
      </c>
      <c r="M12" s="58">
        <f t="shared" si="2"/>
        <v>660371490</v>
      </c>
      <c r="N12" s="59">
        <f t="shared" si="0"/>
        <v>760</v>
      </c>
      <c r="O12" s="60">
        <f t="shared" si="0"/>
        <v>131313768</v>
      </c>
      <c r="P12" s="59">
        <f t="shared" si="1"/>
        <v>223</v>
      </c>
      <c r="Q12" s="61">
        <f t="shared" si="1"/>
        <v>73644908</v>
      </c>
    </row>
    <row r="13" spans="1:17" ht="67.5" customHeight="1" x14ac:dyDescent="0.2">
      <c r="A13" s="51" t="s">
        <v>56</v>
      </c>
      <c r="B13" s="49" t="s">
        <v>58</v>
      </c>
      <c r="C13" s="53" t="s">
        <v>59</v>
      </c>
      <c r="D13" s="40">
        <v>956</v>
      </c>
      <c r="E13" s="40">
        <v>168885230</v>
      </c>
      <c r="F13" s="40">
        <v>925</v>
      </c>
      <c r="G13" s="40">
        <v>170413240</v>
      </c>
      <c r="H13" s="38">
        <v>894</v>
      </c>
      <c r="I13" s="38">
        <v>179398636</v>
      </c>
      <c r="J13" s="38">
        <v>894</v>
      </c>
      <c r="K13" s="38">
        <v>178913740</v>
      </c>
      <c r="L13" s="38">
        <v>894</v>
      </c>
      <c r="M13" s="38">
        <v>186039440</v>
      </c>
      <c r="N13" s="33">
        <f t="shared" si="0"/>
        <v>-62</v>
      </c>
      <c r="O13" s="30">
        <f t="shared" si="0"/>
        <v>10513406</v>
      </c>
      <c r="P13" s="33">
        <f t="shared" si="1"/>
        <v>-31</v>
      </c>
      <c r="Q13" s="30">
        <f t="shared" si="1"/>
        <v>8985396</v>
      </c>
    </row>
    <row r="14" spans="1:17" ht="54" customHeight="1" x14ac:dyDescent="0.2">
      <c r="A14" s="51" t="s">
        <v>57</v>
      </c>
      <c r="B14" s="49" t="s">
        <v>58</v>
      </c>
      <c r="C14" s="53" t="s">
        <v>60</v>
      </c>
      <c r="D14" s="40">
        <v>2930</v>
      </c>
      <c r="E14" s="40">
        <v>378660270</v>
      </c>
      <c r="F14" s="40">
        <v>2911</v>
      </c>
      <c r="G14" s="40">
        <v>430994740</v>
      </c>
      <c r="H14" s="40">
        <f>2824+49</f>
        <v>2873</v>
      </c>
      <c r="I14" s="40">
        <v>493843516</v>
      </c>
      <c r="J14" s="40">
        <f>2824+49</f>
        <v>2873</v>
      </c>
      <c r="K14" s="40">
        <v>441210870</v>
      </c>
      <c r="L14" s="40">
        <f>2824+49</f>
        <v>2873</v>
      </c>
      <c r="M14" s="40">
        <v>459453500</v>
      </c>
      <c r="N14" s="33">
        <f t="shared" si="0"/>
        <v>-57</v>
      </c>
      <c r="O14" s="30">
        <f t="shared" si="0"/>
        <v>115183246</v>
      </c>
      <c r="P14" s="33">
        <f t="shared" si="1"/>
        <v>-38</v>
      </c>
      <c r="Q14" s="30">
        <f t="shared" si="1"/>
        <v>62848776</v>
      </c>
    </row>
    <row r="15" spans="1:17" ht="69.75" customHeight="1" x14ac:dyDescent="0.2">
      <c r="A15" s="51" t="s">
        <v>62</v>
      </c>
      <c r="B15" s="49" t="s">
        <v>58</v>
      </c>
      <c r="C15" s="53" t="s">
        <v>61</v>
      </c>
      <c r="D15" s="40">
        <v>450</v>
      </c>
      <c r="E15" s="40">
        <v>10094860</v>
      </c>
      <c r="F15" s="40">
        <v>514</v>
      </c>
      <c r="G15" s="40">
        <v>12691770</v>
      </c>
      <c r="H15" s="38">
        <v>529</v>
      </c>
      <c r="I15" s="38">
        <v>13344160</v>
      </c>
      <c r="J15" s="38">
        <v>529</v>
      </c>
      <c r="K15" s="38">
        <v>11704270</v>
      </c>
      <c r="L15" s="38">
        <v>529</v>
      </c>
      <c r="M15" s="38">
        <v>11904270</v>
      </c>
      <c r="N15" s="33">
        <f t="shared" si="0"/>
        <v>79</v>
      </c>
      <c r="O15" s="30">
        <f t="shared" si="0"/>
        <v>3249300</v>
      </c>
      <c r="P15" s="33">
        <f t="shared" si="1"/>
        <v>15</v>
      </c>
      <c r="Q15" s="30">
        <f t="shared" si="1"/>
        <v>652390</v>
      </c>
    </row>
    <row r="16" spans="1:17" ht="68.25" customHeight="1" x14ac:dyDescent="0.2">
      <c r="A16" s="51" t="s">
        <v>63</v>
      </c>
      <c r="B16" s="49" t="s">
        <v>58</v>
      </c>
      <c r="C16" s="53" t="s">
        <v>64</v>
      </c>
      <c r="D16" s="40">
        <v>415</v>
      </c>
      <c r="E16" s="40">
        <v>1445450</v>
      </c>
      <c r="F16" s="40">
        <v>938</v>
      </c>
      <c r="G16" s="40">
        <v>2654920</v>
      </c>
      <c r="H16" s="38">
        <v>1215</v>
      </c>
      <c r="I16" s="38">
        <v>3813266</v>
      </c>
      <c r="J16" s="38">
        <v>930</v>
      </c>
      <c r="K16" s="38">
        <v>2974280</v>
      </c>
      <c r="L16" s="38">
        <v>930</v>
      </c>
      <c r="M16" s="38">
        <v>2974280</v>
      </c>
      <c r="N16" s="33">
        <f t="shared" ref="N16" si="3">H16-D16</f>
        <v>800</v>
      </c>
      <c r="O16" s="30">
        <f t="shared" ref="O16" si="4">I16-E16</f>
        <v>2367816</v>
      </c>
      <c r="P16" s="33">
        <f t="shared" ref="P16" si="5">H16-F16</f>
        <v>277</v>
      </c>
      <c r="Q16" s="30">
        <f t="shared" si="1"/>
        <v>1158346</v>
      </c>
    </row>
    <row r="17" spans="1:17" ht="120" x14ac:dyDescent="0.25">
      <c r="A17" s="56" t="s">
        <v>65</v>
      </c>
      <c r="B17" s="57" t="s">
        <v>58</v>
      </c>
      <c r="C17" s="62" t="s">
        <v>66</v>
      </c>
      <c r="D17" s="63">
        <v>203</v>
      </c>
      <c r="E17" s="63">
        <v>6488140</v>
      </c>
      <c r="F17" s="63">
        <v>203</v>
      </c>
      <c r="G17" s="63">
        <v>8409940</v>
      </c>
      <c r="H17" s="63">
        <v>203</v>
      </c>
      <c r="I17" s="63">
        <v>8335361</v>
      </c>
      <c r="J17" s="63">
        <v>203</v>
      </c>
      <c r="K17" s="63">
        <v>8079160</v>
      </c>
      <c r="L17" s="63">
        <v>203</v>
      </c>
      <c r="M17" s="63">
        <v>8179160</v>
      </c>
      <c r="N17" s="64">
        <f t="shared" si="0"/>
        <v>0</v>
      </c>
      <c r="O17" s="65">
        <f t="shared" si="0"/>
        <v>1847221</v>
      </c>
      <c r="P17" s="64">
        <f t="shared" si="1"/>
        <v>0</v>
      </c>
      <c r="Q17" s="65">
        <f t="shared" si="1"/>
        <v>-74579</v>
      </c>
    </row>
    <row r="18" spans="1:17" s="76" customFormat="1" ht="75" x14ac:dyDescent="0.2">
      <c r="A18" s="71" t="s">
        <v>68</v>
      </c>
      <c r="B18" s="72">
        <v>499</v>
      </c>
      <c r="C18" s="73" t="s">
        <v>69</v>
      </c>
      <c r="D18" s="74">
        <f>D19+D20+D21+D22+D24+D27</f>
        <v>4958.1000000000004</v>
      </c>
      <c r="E18" s="74">
        <v>60021199.280000001</v>
      </c>
      <c r="F18" s="74">
        <f>F19+F20+F21+F22+F24+F27</f>
        <v>4825.6400000000003</v>
      </c>
      <c r="G18" s="74">
        <v>78049023.030000001</v>
      </c>
      <c r="H18" s="74">
        <f>H19+H20+H21+H22+H24+H27</f>
        <v>5882.02</v>
      </c>
      <c r="I18" s="74">
        <v>80131640</v>
      </c>
      <c r="J18" s="74">
        <f>J19+J20+J21+J22+J24+J27</f>
        <v>5895.3899999999994</v>
      </c>
      <c r="K18" s="74">
        <v>70223230</v>
      </c>
      <c r="L18" s="74">
        <f>L19+L20+L21+L22+L24+L27</f>
        <v>5908.77</v>
      </c>
      <c r="M18" s="74">
        <v>70674380</v>
      </c>
      <c r="N18" s="74">
        <f>H18-D18</f>
        <v>923.92000000000007</v>
      </c>
      <c r="O18" s="74">
        <f>I18-E18</f>
        <v>20110440.719999999</v>
      </c>
      <c r="P18" s="75">
        <f t="shared" si="1"/>
        <v>1056.3800000000001</v>
      </c>
      <c r="Q18" s="74">
        <f t="shared" si="1"/>
        <v>2082616.9699999988</v>
      </c>
    </row>
    <row r="19" spans="1:17" ht="63.75" x14ac:dyDescent="0.2">
      <c r="A19" s="47" t="s">
        <v>70</v>
      </c>
      <c r="B19" s="29">
        <v>499</v>
      </c>
      <c r="C19" s="29" t="s">
        <v>69</v>
      </c>
      <c r="D19" s="31">
        <v>50.366999999999997</v>
      </c>
      <c r="E19" s="102">
        <f>7127422.05+3909960</f>
        <v>11037382.050000001</v>
      </c>
      <c r="F19" s="31">
        <f>93.64</f>
        <v>93.64</v>
      </c>
      <c r="G19" s="102">
        <v>12378960.060000001</v>
      </c>
      <c r="H19" s="29">
        <f>106.43+0.59</f>
        <v>107.02000000000001</v>
      </c>
      <c r="I19" s="102">
        <v>12574400</v>
      </c>
      <c r="J19" s="29">
        <f>119.8+0.59</f>
        <v>120.39</v>
      </c>
      <c r="K19" s="102">
        <v>10638120</v>
      </c>
      <c r="L19" s="29">
        <f>133.18+0.59</f>
        <v>133.77000000000001</v>
      </c>
      <c r="M19" s="102">
        <v>10750030</v>
      </c>
      <c r="N19" s="67">
        <f>H19-D19</f>
        <v>56.653000000000013</v>
      </c>
      <c r="O19" s="46">
        <f t="shared" ref="O19:O27" si="6">I19-E19</f>
        <v>1537017.9499999993</v>
      </c>
      <c r="P19" s="33">
        <f t="shared" si="1"/>
        <v>13.38000000000001</v>
      </c>
      <c r="Q19" s="30">
        <f t="shared" si="1"/>
        <v>195439.93999999948</v>
      </c>
    </row>
    <row r="20" spans="1:17" ht="63.75" x14ac:dyDescent="0.2">
      <c r="A20" s="47" t="s">
        <v>71</v>
      </c>
      <c r="B20" s="29">
        <v>499</v>
      </c>
      <c r="C20" s="29" t="s">
        <v>69</v>
      </c>
      <c r="D20" s="31">
        <v>115.733</v>
      </c>
      <c r="E20" s="103"/>
      <c r="F20" s="31">
        <f>65</f>
        <v>65</v>
      </c>
      <c r="G20" s="103"/>
      <c r="H20" s="29">
        <f>65</f>
        <v>65</v>
      </c>
      <c r="I20" s="103"/>
      <c r="J20" s="29">
        <f>65</f>
        <v>65</v>
      </c>
      <c r="K20" s="103"/>
      <c r="L20" s="29">
        <f>65</f>
        <v>65</v>
      </c>
      <c r="M20" s="103"/>
      <c r="N20" s="68">
        <f>H20-D20</f>
        <v>-50.733000000000004</v>
      </c>
      <c r="O20" s="46">
        <f t="shared" si="6"/>
        <v>0</v>
      </c>
      <c r="P20" s="33">
        <f t="shared" si="1"/>
        <v>0</v>
      </c>
      <c r="Q20" s="30">
        <f t="shared" si="1"/>
        <v>0</v>
      </c>
    </row>
    <row r="21" spans="1:17" ht="63.75" x14ac:dyDescent="0.2">
      <c r="A21" s="47" t="s">
        <v>72</v>
      </c>
      <c r="B21" s="29">
        <v>499</v>
      </c>
      <c r="C21" s="29" t="s">
        <v>69</v>
      </c>
      <c r="D21" s="31">
        <v>620</v>
      </c>
      <c r="E21" s="102">
        <f>19475402.93+5435040</f>
        <v>24910442.93</v>
      </c>
      <c r="F21" s="31">
        <f>8+460</f>
        <v>468</v>
      </c>
      <c r="G21" s="102">
        <v>38364134.460000001</v>
      </c>
      <c r="H21" s="29">
        <f>940+441</f>
        <v>1381</v>
      </c>
      <c r="I21" s="102">
        <v>39611840</v>
      </c>
      <c r="J21" s="29">
        <f>940+441</f>
        <v>1381</v>
      </c>
      <c r="K21" s="102">
        <v>34907430</v>
      </c>
      <c r="L21" s="29">
        <f>940+441</f>
        <v>1381</v>
      </c>
      <c r="M21" s="102">
        <v>35032800</v>
      </c>
      <c r="N21" s="67">
        <f>H21-D21</f>
        <v>761</v>
      </c>
      <c r="O21" s="46">
        <f t="shared" si="6"/>
        <v>14701397.07</v>
      </c>
      <c r="P21" s="33">
        <f t="shared" si="1"/>
        <v>913</v>
      </c>
      <c r="Q21" s="30">
        <f t="shared" si="1"/>
        <v>1247705.5399999991</v>
      </c>
    </row>
    <row r="22" spans="1:17" ht="25.5" x14ac:dyDescent="0.2">
      <c r="A22" s="47" t="s">
        <v>73</v>
      </c>
      <c r="B22" s="29">
        <v>499</v>
      </c>
      <c r="C22" s="29" t="s">
        <v>69</v>
      </c>
      <c r="D22" s="31">
        <v>105</v>
      </c>
      <c r="E22" s="103"/>
      <c r="F22" s="69">
        <v>136</v>
      </c>
      <c r="G22" s="103"/>
      <c r="H22" s="29">
        <f>262+6</f>
        <v>268</v>
      </c>
      <c r="I22" s="104"/>
      <c r="J22" s="29">
        <f>262+6</f>
        <v>268</v>
      </c>
      <c r="K22" s="104"/>
      <c r="L22" s="29">
        <f>262+6</f>
        <v>268</v>
      </c>
      <c r="M22" s="104"/>
      <c r="N22" s="67">
        <f t="shared" ref="N22:N24" si="7">H22-D22</f>
        <v>163</v>
      </c>
      <c r="O22" s="46">
        <f t="shared" si="6"/>
        <v>0</v>
      </c>
      <c r="P22" s="33">
        <f t="shared" si="1"/>
        <v>132</v>
      </c>
      <c r="Q22" s="30">
        <f t="shared" si="1"/>
        <v>0</v>
      </c>
    </row>
    <row r="23" spans="1:17" ht="38.25" x14ac:dyDescent="0.2">
      <c r="A23" s="47" t="s">
        <v>14</v>
      </c>
      <c r="B23" s="29">
        <v>499</v>
      </c>
      <c r="C23" s="29" t="s">
        <v>69</v>
      </c>
      <c r="D23" s="31">
        <v>4515</v>
      </c>
      <c r="E23" s="99">
        <v>3434344.02</v>
      </c>
      <c r="F23" s="31">
        <f>8000</f>
        <v>8000</v>
      </c>
      <c r="G23" s="99">
        <v>4758840</v>
      </c>
      <c r="H23" s="29">
        <f>534+8494</f>
        <v>9028</v>
      </c>
      <c r="I23" s="99">
        <v>4917680</v>
      </c>
      <c r="J23" s="29">
        <f>534+8494</f>
        <v>9028</v>
      </c>
      <c r="K23" s="99">
        <v>4388570</v>
      </c>
      <c r="L23" s="29">
        <f>534+8494</f>
        <v>9028</v>
      </c>
      <c r="M23" s="99">
        <v>4477990</v>
      </c>
      <c r="N23" s="67">
        <f t="shared" si="7"/>
        <v>4513</v>
      </c>
      <c r="O23" s="46">
        <f t="shared" si="6"/>
        <v>1483335.98</v>
      </c>
      <c r="P23" s="33">
        <f t="shared" si="1"/>
        <v>1028</v>
      </c>
      <c r="Q23" s="30">
        <f t="shared" si="1"/>
        <v>158840</v>
      </c>
    </row>
    <row r="24" spans="1:17" ht="63.75" x14ac:dyDescent="0.2">
      <c r="A24" s="47" t="s">
        <v>74</v>
      </c>
      <c r="B24" s="29">
        <v>499</v>
      </c>
      <c r="C24" s="29" t="s">
        <v>69</v>
      </c>
      <c r="D24" s="31">
        <v>4061</v>
      </c>
      <c r="E24" s="100"/>
      <c r="F24" s="31">
        <f>4061</f>
        <v>4061</v>
      </c>
      <c r="G24" s="100"/>
      <c r="H24" s="29">
        <f>4061</f>
        <v>4061</v>
      </c>
      <c r="I24" s="100"/>
      <c r="J24" s="29">
        <f>4061</f>
        <v>4061</v>
      </c>
      <c r="K24" s="100"/>
      <c r="L24" s="29">
        <v>4061</v>
      </c>
      <c r="M24" s="100"/>
      <c r="N24" s="67">
        <f t="shared" si="7"/>
        <v>0</v>
      </c>
      <c r="O24" s="46">
        <f t="shared" si="6"/>
        <v>0</v>
      </c>
      <c r="P24" s="33">
        <f t="shared" si="1"/>
        <v>0</v>
      </c>
      <c r="Q24" s="30">
        <f t="shared" si="1"/>
        <v>0</v>
      </c>
    </row>
    <row r="25" spans="1:17" ht="25.5" x14ac:dyDescent="0.2">
      <c r="A25" s="47" t="s">
        <v>18</v>
      </c>
      <c r="B25" s="29">
        <v>499</v>
      </c>
      <c r="C25" s="29" t="s">
        <v>69</v>
      </c>
      <c r="D25" s="70">
        <v>192</v>
      </c>
      <c r="E25" s="99">
        <v>20639030.280000001</v>
      </c>
      <c r="F25" s="31">
        <v>148</v>
      </c>
      <c r="G25" s="99">
        <v>22547088.510000002</v>
      </c>
      <c r="H25" s="31">
        <f>45+31</f>
        <v>76</v>
      </c>
      <c r="I25" s="99">
        <v>23027720</v>
      </c>
      <c r="J25" s="31">
        <f>50+33</f>
        <v>83</v>
      </c>
      <c r="K25" s="99">
        <v>20289110</v>
      </c>
      <c r="L25" s="31">
        <f>55+35</f>
        <v>90</v>
      </c>
      <c r="M25" s="99">
        <v>20413560</v>
      </c>
      <c r="N25" s="67">
        <f>H25-D25</f>
        <v>-116</v>
      </c>
      <c r="O25" s="46">
        <f t="shared" si="6"/>
        <v>2388689.7199999988</v>
      </c>
      <c r="P25" s="33">
        <f t="shared" si="1"/>
        <v>-72</v>
      </c>
      <c r="Q25" s="30">
        <f t="shared" si="1"/>
        <v>480631.48999999836</v>
      </c>
    </row>
    <row r="26" spans="1:17" ht="63.75" x14ac:dyDescent="0.2">
      <c r="A26" s="47" t="s">
        <v>19</v>
      </c>
      <c r="B26" s="29">
        <v>499</v>
      </c>
      <c r="C26" s="29" t="s">
        <v>69</v>
      </c>
      <c r="D26" s="70">
        <v>172</v>
      </c>
      <c r="E26" s="101"/>
      <c r="F26" s="31">
        <v>199</v>
      </c>
      <c r="G26" s="101"/>
      <c r="H26" s="31">
        <f>120+99</f>
        <v>219</v>
      </c>
      <c r="I26" s="101"/>
      <c r="J26" s="31">
        <f>125+102</f>
        <v>227</v>
      </c>
      <c r="K26" s="101"/>
      <c r="L26" s="31">
        <f>130+105</f>
        <v>235</v>
      </c>
      <c r="M26" s="101"/>
      <c r="N26" s="67">
        <f t="shared" ref="N26:N27" si="8">H26-D26</f>
        <v>47</v>
      </c>
      <c r="O26" s="46">
        <f t="shared" si="6"/>
        <v>0</v>
      </c>
      <c r="P26" s="33">
        <f t="shared" ref="P26:Q27" si="9">H26-F26</f>
        <v>20</v>
      </c>
      <c r="Q26" s="30">
        <f t="shared" si="9"/>
        <v>0</v>
      </c>
    </row>
    <row r="27" spans="1:17" ht="15" x14ac:dyDescent="0.2">
      <c r="A27" s="47" t="s">
        <v>75</v>
      </c>
      <c r="B27" s="29">
        <v>499</v>
      </c>
      <c r="C27" s="29" t="s">
        <v>69</v>
      </c>
      <c r="D27" s="70">
        <v>6</v>
      </c>
      <c r="E27" s="100"/>
      <c r="F27" s="31">
        <v>2</v>
      </c>
      <c r="G27" s="100"/>
      <c r="H27" s="31">
        <v>0</v>
      </c>
      <c r="I27" s="100"/>
      <c r="J27" s="31">
        <v>0</v>
      </c>
      <c r="K27" s="100"/>
      <c r="L27" s="31">
        <v>0</v>
      </c>
      <c r="M27" s="100"/>
      <c r="N27" s="67">
        <f t="shared" si="8"/>
        <v>-6</v>
      </c>
      <c r="O27" s="46">
        <f t="shared" si="6"/>
        <v>0</v>
      </c>
      <c r="P27" s="33">
        <f t="shared" si="9"/>
        <v>-2</v>
      </c>
      <c r="Q27" s="30">
        <f t="shared" si="9"/>
        <v>0</v>
      </c>
    </row>
    <row r="28" spans="1:17" s="1" customFormat="1" ht="17.25" customHeight="1" x14ac:dyDescent="0.2">
      <c r="A28" s="20" t="s">
        <v>3</v>
      </c>
      <c r="B28" s="21"/>
      <c r="C28" s="21"/>
      <c r="D28" s="22">
        <f>D12+D17+D10</f>
        <v>5087.1819999999998</v>
      </c>
      <c r="E28" s="22">
        <f>E12+E17+E10+E18</f>
        <v>628525149.27999997</v>
      </c>
      <c r="F28" s="22">
        <f>F12+F17+F10</f>
        <v>5604.7</v>
      </c>
      <c r="G28" s="22">
        <f>G12+G17+G10+G18</f>
        <v>705713633.02999997</v>
      </c>
      <c r="H28" s="22">
        <f>H12+H17+H10</f>
        <v>5833.3180000000002</v>
      </c>
      <c r="I28" s="22">
        <f>I12+I17+I10+I18</f>
        <v>781516579</v>
      </c>
      <c r="J28" s="22">
        <f>J12+J17+J10</f>
        <v>5554.2839999999997</v>
      </c>
      <c r="K28" s="22">
        <f>K12+K17+K10+K18</f>
        <v>715861800</v>
      </c>
      <c r="L28" s="22">
        <f>L12+L17+L10</f>
        <v>5560.5479999999998</v>
      </c>
      <c r="M28" s="22">
        <f>M12+M17+M10+M18</f>
        <v>742119093</v>
      </c>
      <c r="N28" s="22">
        <f>N12+N17+N10</f>
        <v>746.13599999999997</v>
      </c>
      <c r="O28" s="22">
        <f>O12+O17+O10</f>
        <v>132880989</v>
      </c>
      <c r="P28" s="22">
        <f>P12+P17+P10</f>
        <v>228.61799999999999</v>
      </c>
      <c r="Q28" s="22">
        <f>Q12+Q17+Q10</f>
        <v>73720329</v>
      </c>
    </row>
  </sheetData>
  <mergeCells count="42">
    <mergeCell ref="O6:O7"/>
    <mergeCell ref="G6:G7"/>
    <mergeCell ref="H6:I6"/>
    <mergeCell ref="J6:K6"/>
    <mergeCell ref="L6:M6"/>
    <mergeCell ref="N6:N7"/>
    <mergeCell ref="C1:Q1"/>
    <mergeCell ref="A2:Q2"/>
    <mergeCell ref="A3:G3"/>
    <mergeCell ref="A5:A7"/>
    <mergeCell ref="B5:B7"/>
    <mergeCell ref="C5:C7"/>
    <mergeCell ref="D5:E5"/>
    <mergeCell ref="F5:G5"/>
    <mergeCell ref="H5:M5"/>
    <mergeCell ref="N5:O5"/>
    <mergeCell ref="P6:P7"/>
    <mergeCell ref="Q6:Q7"/>
    <mergeCell ref="P5:Q5"/>
    <mergeCell ref="D6:D7"/>
    <mergeCell ref="E6:E7"/>
    <mergeCell ref="F6:F7"/>
    <mergeCell ref="E19:E20"/>
    <mergeCell ref="G19:G20"/>
    <mergeCell ref="I19:I20"/>
    <mergeCell ref="K19:K20"/>
    <mergeCell ref="M19:M20"/>
    <mergeCell ref="E21:E22"/>
    <mergeCell ref="G21:G22"/>
    <mergeCell ref="I21:I22"/>
    <mergeCell ref="K21:K22"/>
    <mergeCell ref="M21:M22"/>
    <mergeCell ref="K23:K24"/>
    <mergeCell ref="K25:K27"/>
    <mergeCell ref="M23:M24"/>
    <mergeCell ref="M25:M27"/>
    <mergeCell ref="E23:E24"/>
    <mergeCell ref="E25:E27"/>
    <mergeCell ref="G23:G24"/>
    <mergeCell ref="G25:G27"/>
    <mergeCell ref="I23:I24"/>
    <mergeCell ref="I25:I27"/>
  </mergeCells>
  <pageMargins left="0" right="0" top="0.78740157480314965" bottom="0.6692913385826772" header="0.51181102362204722" footer="0.51181102362204722"/>
  <pageSetup paperSize="9" scale="61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ПМО</vt:lpstr>
      <vt:lpstr>Лист2</vt:lpstr>
      <vt:lpstr>Лист3</vt:lpstr>
      <vt:lpstr>ПМО!Область_печати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FedorenkoEA</cp:lastModifiedBy>
  <cp:lastPrinted>2023-11-20T03:31:54Z</cp:lastPrinted>
  <dcterms:created xsi:type="dcterms:W3CDTF">2013-10-24T03:36:12Z</dcterms:created>
  <dcterms:modified xsi:type="dcterms:W3CDTF">2023-11-30T23:14:53Z</dcterms:modified>
</cp:coreProperties>
</file>